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0455" windowHeight="7140" activeTab="3"/>
  </bookViews>
  <sheets>
    <sheet name="Gasifier Material" sheetId="1" r:id="rId1"/>
    <sheet name="Combuster" sheetId="3" r:id="rId2"/>
    <sheet name="Energy" sheetId="4" r:id="rId3"/>
    <sheet name="Summary" sheetId="2" r:id="rId4"/>
  </sheets>
  <calcPr calcId="124519"/>
</workbook>
</file>

<file path=xl/calcChain.xml><?xml version="1.0" encoding="utf-8"?>
<calcChain xmlns="http://schemas.openxmlformats.org/spreadsheetml/2006/main">
  <c r="I32" i="2"/>
  <c r="B35"/>
  <c r="G24" i="4"/>
  <c r="L14" i="2"/>
  <c r="R33"/>
  <c r="P44"/>
  <c r="P17"/>
  <c r="I33" s="1"/>
  <c r="O25" s="1"/>
  <c r="F8"/>
  <c r="K42" s="1"/>
  <c r="F43"/>
  <c r="B34"/>
  <c r="F9" s="1"/>
  <c r="B33"/>
  <c r="M30" i="4"/>
  <c r="M29"/>
  <c r="V23"/>
  <c r="V21"/>
  <c r="V18"/>
  <c r="R35" i="1"/>
  <c r="R36" s="1"/>
  <c r="K11" i="4"/>
  <c r="AC14"/>
  <c r="I41" i="3"/>
  <c r="I42" s="1"/>
  <c r="C8" i="4"/>
  <c r="B38" s="1"/>
  <c r="M11"/>
  <c r="O11" s="1"/>
  <c r="R17" s="1"/>
  <c r="P10" s="1"/>
  <c r="Q10" s="1"/>
  <c r="T9"/>
  <c r="T8" s="1"/>
  <c r="V8" s="1"/>
  <c r="Y31" s="1"/>
  <c r="L22"/>
  <c r="Y25"/>
  <c r="H19"/>
  <c r="AE13"/>
  <c r="D37"/>
  <c r="M10"/>
  <c r="H10"/>
  <c r="X9" s="1"/>
  <c r="C17"/>
  <c r="F34" i="3"/>
  <c r="G25"/>
  <c r="F31"/>
  <c r="F35"/>
  <c r="W38" i="1"/>
  <c r="W39"/>
  <c r="X38"/>
  <c r="F35"/>
  <c r="Q43"/>
  <c r="Q45" s="1"/>
  <c r="D12"/>
  <c r="D14" s="1"/>
  <c r="X39"/>
  <c r="B24" i="4" l="1"/>
  <c r="G18" i="1"/>
  <c r="G12" s="1"/>
  <c r="F18"/>
  <c r="G13"/>
  <c r="D16"/>
  <c r="F44" i="2"/>
  <c r="P18"/>
  <c r="K43"/>
  <c r="P45" s="1"/>
  <c r="R34" s="1"/>
  <c r="O26" s="1"/>
  <c r="C10" i="4"/>
  <c r="R34" i="1"/>
  <c r="R37"/>
  <c r="E40" i="3" s="1"/>
  <c r="I40"/>
  <c r="I46" s="1"/>
  <c r="O20" s="1"/>
  <c r="P20" s="1"/>
  <c r="Q20" s="1"/>
  <c r="M9" s="1"/>
  <c r="D38" i="4"/>
  <c r="F38" s="1"/>
  <c r="I42" s="1"/>
  <c r="G37" s="1"/>
  <c r="H37" s="1"/>
  <c r="N22"/>
  <c r="N21" s="1"/>
  <c r="O39" s="1"/>
  <c r="O26" s="1"/>
  <c r="P26" s="1"/>
  <c r="Y33"/>
  <c r="X14" s="1"/>
  <c r="Y14" s="1"/>
  <c r="Y35"/>
  <c r="X16" s="1"/>
  <c r="Y16" s="1"/>
  <c r="Y37"/>
  <c r="X18" s="1"/>
  <c r="Y18" s="1"/>
  <c r="Y39"/>
  <c r="Y41"/>
  <c r="X22" s="1"/>
  <c r="Y22" s="1"/>
  <c r="Y43"/>
  <c r="X24" s="1"/>
  <c r="Y24" s="1"/>
  <c r="Y32"/>
  <c r="X13" s="1"/>
  <c r="Y13" s="1"/>
  <c r="Y34"/>
  <c r="X15" s="1"/>
  <c r="Y15" s="1"/>
  <c r="Y36"/>
  <c r="X17" s="1"/>
  <c r="Y17" s="1"/>
  <c r="Y38"/>
  <c r="X19" s="1"/>
  <c r="Y19" s="1"/>
  <c r="Y40"/>
  <c r="X21" s="1"/>
  <c r="Y21" s="1"/>
  <c r="Y42"/>
  <c r="X23" s="1"/>
  <c r="Y23" s="1"/>
  <c r="Y44"/>
  <c r="V9"/>
  <c r="L21"/>
  <c r="H24" l="1"/>
  <c r="O38"/>
  <c r="O25" s="1"/>
  <c r="P25" s="1"/>
  <c r="D24"/>
  <c r="L40" i="1"/>
  <c r="L41" s="1"/>
  <c r="G15"/>
  <c r="N15" s="1"/>
  <c r="G17"/>
  <c r="G16"/>
  <c r="N16" s="1"/>
  <c r="G14"/>
  <c r="N14" s="1"/>
  <c r="G21"/>
  <c r="N30" s="1"/>
  <c r="N13"/>
  <c r="F14"/>
  <c r="F21"/>
  <c r="F15"/>
  <c r="F13"/>
  <c r="M13" s="1"/>
  <c r="F17"/>
  <c r="K40"/>
  <c r="F12"/>
  <c r="M12" s="1"/>
  <c r="F16"/>
  <c r="N12"/>
  <c r="H18"/>
  <c r="M14" i="3" s="1"/>
  <c r="L13" i="2" s="1"/>
  <c r="X41" i="1"/>
  <c r="O40" i="4"/>
  <c r="O27" s="1"/>
  <c r="P27" s="1"/>
  <c r="O36"/>
  <c r="O23" s="1"/>
  <c r="P23" s="1"/>
  <c r="O41"/>
  <c r="O28" s="1"/>
  <c r="P28" s="1"/>
  <c r="O37"/>
  <c r="O24" s="1"/>
  <c r="P24" s="1"/>
  <c r="X12"/>
  <c r="Y12" s="1"/>
  <c r="X20"/>
  <c r="Y20" s="1"/>
  <c r="AL13" i="1" l="1"/>
  <c r="AL12"/>
  <c r="H12"/>
  <c r="B13" i="4" s="1"/>
  <c r="AB30" i="1"/>
  <c r="C11" i="3" s="1"/>
  <c r="C35" s="1"/>
  <c r="G14" s="1"/>
  <c r="P15" i="2" s="1"/>
  <c r="Q15" s="1"/>
  <c r="L30" i="4" s="1"/>
  <c r="Q28" s="1"/>
  <c r="AD11" i="1"/>
  <c r="AD12"/>
  <c r="AL15"/>
  <c r="AB31"/>
  <c r="C12" i="3" s="1"/>
  <c r="C33" s="1"/>
  <c r="G13" s="1"/>
  <c r="P14" i="2" s="1"/>
  <c r="AD13" i="1"/>
  <c r="AD15"/>
  <c r="AL14"/>
  <c r="AD14"/>
  <c r="G22"/>
  <c r="N19"/>
  <c r="AD16" s="1"/>
  <c r="N20"/>
  <c r="AB37" s="1"/>
  <c r="C18" i="3" s="1"/>
  <c r="N21" i="1"/>
  <c r="AB38" s="1"/>
  <c r="C19" i="3" s="1"/>
  <c r="N25" i="1"/>
  <c r="AB42" s="1"/>
  <c r="C23" i="3" s="1"/>
  <c r="N23" i="1"/>
  <c r="AB40" s="1"/>
  <c r="C21" i="3" s="1"/>
  <c r="N22" i="1"/>
  <c r="AB39" s="1"/>
  <c r="C20" i="3" s="1"/>
  <c r="N27" i="1"/>
  <c r="AB44" s="1"/>
  <c r="C25" i="3" s="1"/>
  <c r="N24" i="1"/>
  <c r="AB41" s="1"/>
  <c r="C22" i="3" s="1"/>
  <c r="N28" i="1"/>
  <c r="AB45" s="1"/>
  <c r="C26" i="3" s="1"/>
  <c r="N26" i="1"/>
  <c r="AB43" s="1"/>
  <c r="C24" i="3" s="1"/>
  <c r="K30" i="4"/>
  <c r="N30" s="1"/>
  <c r="D13"/>
  <c r="AK11" i="1"/>
  <c r="U12"/>
  <c r="M24"/>
  <c r="M21"/>
  <c r="M20"/>
  <c r="M28"/>
  <c r="M27"/>
  <c r="M26"/>
  <c r="M25"/>
  <c r="H17"/>
  <c r="B18" i="4" s="1"/>
  <c r="M23" i="1"/>
  <c r="M22"/>
  <c r="M19"/>
  <c r="M15"/>
  <c r="H15"/>
  <c r="B16" i="4" s="1"/>
  <c r="M14" i="1"/>
  <c r="H14"/>
  <c r="B15" i="4" s="1"/>
  <c r="O13" i="1"/>
  <c r="P13" s="1"/>
  <c r="C32" i="3"/>
  <c r="AL11" i="1"/>
  <c r="V12"/>
  <c r="O12"/>
  <c r="P12" s="1"/>
  <c r="M16"/>
  <c r="H16"/>
  <c r="B17" i="4" s="1"/>
  <c r="D17" s="1"/>
  <c r="M40" i="1"/>
  <c r="K41"/>
  <c r="M41" s="1"/>
  <c r="K10" i="4" s="1"/>
  <c r="F22" i="1"/>
  <c r="H22" s="1"/>
  <c r="M30"/>
  <c r="H21"/>
  <c r="C37" i="4" s="1"/>
  <c r="H13" i="1"/>
  <c r="B14" i="4" s="1"/>
  <c r="D14" s="1"/>
  <c r="M15" i="3"/>
  <c r="F42" i="2"/>
  <c r="AM11" i="1" l="1"/>
  <c r="K29" i="4"/>
  <c r="N29" s="1"/>
  <c r="Q14" i="2"/>
  <c r="L29" i="4" s="1"/>
  <c r="Q27" s="1"/>
  <c r="AL24" i="1"/>
  <c r="AL32" s="1"/>
  <c r="AD17"/>
  <c r="AL23"/>
  <c r="AL31" s="1"/>
  <c r="I37" i="4"/>
  <c r="H24" i="1"/>
  <c r="B32" i="2"/>
  <c r="F41"/>
  <c r="L10" i="4"/>
  <c r="AC12" i="1"/>
  <c r="AE12" s="1"/>
  <c r="AC11"/>
  <c r="AK15"/>
  <c r="AA30"/>
  <c r="O16"/>
  <c r="P16" s="1"/>
  <c r="V13"/>
  <c r="V17"/>
  <c r="V14"/>
  <c r="V15"/>
  <c r="V16"/>
  <c r="W12"/>
  <c r="AC16"/>
  <c r="AE16" s="1"/>
  <c r="O19"/>
  <c r="P19" s="1"/>
  <c r="O23"/>
  <c r="AA40"/>
  <c r="B21" i="3" s="1"/>
  <c r="AA42" i="1"/>
  <c r="B23" i="3" s="1"/>
  <c r="O25" i="1"/>
  <c r="AA44"/>
  <c r="B25" i="3" s="1"/>
  <c r="O27" i="1"/>
  <c r="AA37"/>
  <c r="B18" i="3" s="1"/>
  <c r="O20" i="1"/>
  <c r="AA41"/>
  <c r="B22" i="3" s="1"/>
  <c r="O24" i="1"/>
  <c r="D19" i="4"/>
  <c r="E24" s="1"/>
  <c r="O30" i="1"/>
  <c r="AK12"/>
  <c r="AM12" s="1"/>
  <c r="O14"/>
  <c r="P14" s="1"/>
  <c r="AK13"/>
  <c r="AK14"/>
  <c r="AC14"/>
  <c r="AE14" s="1"/>
  <c r="AA31"/>
  <c r="AC15"/>
  <c r="AE15" s="1"/>
  <c r="AC13"/>
  <c r="O15"/>
  <c r="P15" s="1"/>
  <c r="AA39"/>
  <c r="B20" i="3" s="1"/>
  <c r="O22" i="1"/>
  <c r="AA43"/>
  <c r="B24" i="3" s="1"/>
  <c r="O26" i="1"/>
  <c r="AA45"/>
  <c r="B26" i="3" s="1"/>
  <c r="O28" i="1"/>
  <c r="AA38"/>
  <c r="B19" i="3" s="1"/>
  <c r="O21" i="1"/>
  <c r="U17"/>
  <c r="U14"/>
  <c r="U15"/>
  <c r="U13"/>
  <c r="U23" s="1"/>
  <c r="U16"/>
  <c r="B19" i="4"/>
  <c r="N10"/>
  <c r="AK22" i="1" l="1"/>
  <c r="V18"/>
  <c r="AC38"/>
  <c r="P21"/>
  <c r="K40" i="2"/>
  <c r="R31" s="1"/>
  <c r="P28" i="1"/>
  <c r="AC45"/>
  <c r="D26" i="3" s="1"/>
  <c r="P22" i="1"/>
  <c r="AC39"/>
  <c r="B20" i="2"/>
  <c r="AF15" i="1"/>
  <c r="AK23"/>
  <c r="AM23" s="1"/>
  <c r="AE13"/>
  <c r="B12" i="3"/>
  <c r="AC31" i="1"/>
  <c r="AK31"/>
  <c r="AM31" s="1"/>
  <c r="AM14"/>
  <c r="F24" i="4"/>
  <c r="V25" s="1"/>
  <c r="B27"/>
  <c r="AC40" i="1"/>
  <c r="P23"/>
  <c r="AF16"/>
  <c r="B21" i="2"/>
  <c r="B10"/>
  <c r="X12" i="1"/>
  <c r="AM15"/>
  <c r="AF12"/>
  <c r="B17" i="2"/>
  <c r="U18" i="1"/>
  <c r="W15"/>
  <c r="W17"/>
  <c r="AC43"/>
  <c r="P26"/>
  <c r="AF14"/>
  <c r="B19" i="2"/>
  <c r="AM13" i="1"/>
  <c r="AK30"/>
  <c r="AA32" s="1"/>
  <c r="B13" i="3" s="1"/>
  <c r="B37" i="4"/>
  <c r="E37" s="1"/>
  <c r="P30" i="1"/>
  <c r="AC41"/>
  <c r="P24"/>
  <c r="AC37"/>
  <c r="P20"/>
  <c r="AC44"/>
  <c r="P27"/>
  <c r="AC42"/>
  <c r="P25"/>
  <c r="V23"/>
  <c r="V24" s="1"/>
  <c r="W13"/>
  <c r="B11" i="3"/>
  <c r="B35" s="1"/>
  <c r="AC30" i="1"/>
  <c r="AC17"/>
  <c r="AK24"/>
  <c r="AM24" s="1"/>
  <c r="AE11"/>
  <c r="R10" i="4"/>
  <c r="K17" s="1"/>
  <c r="F45" i="2" s="1"/>
  <c r="T15"/>
  <c r="W16" i="1"/>
  <c r="W14"/>
  <c r="O10" i="4"/>
  <c r="U24" i="1" l="1"/>
  <c r="U25" s="1"/>
  <c r="U28" s="1"/>
  <c r="U29" s="1"/>
  <c r="U34" s="1"/>
  <c r="U44" s="1"/>
  <c r="B16" i="2"/>
  <c r="AF11" i="1"/>
  <c r="AE17"/>
  <c r="AL22"/>
  <c r="W23"/>
  <c r="D23" i="3"/>
  <c r="K37" i="2"/>
  <c r="R28" s="1"/>
  <c r="D25" i="3"/>
  <c r="K39" i="2"/>
  <c r="R30" s="1"/>
  <c r="D18" i="3"/>
  <c r="K32" i="2"/>
  <c r="D22" i="3"/>
  <c r="K36" i="2"/>
  <c r="R27" s="1"/>
  <c r="F37" i="4"/>
  <c r="B41"/>
  <c r="D24" i="3"/>
  <c r="K38" i="2"/>
  <c r="R29" s="1"/>
  <c r="B13"/>
  <c r="X15" i="1"/>
  <c r="D21" i="2"/>
  <c r="U23" i="4" s="1"/>
  <c r="Z23" s="1"/>
  <c r="T23"/>
  <c r="W23" s="1"/>
  <c r="D12" i="3"/>
  <c r="K25" i="2"/>
  <c r="L25" s="1"/>
  <c r="B18"/>
  <c r="AF13" i="1"/>
  <c r="D20" i="3"/>
  <c r="K34" i="2"/>
  <c r="R25" s="1"/>
  <c r="D19" i="3"/>
  <c r="K33" i="2"/>
  <c r="R24" s="1"/>
  <c r="AK32" i="1"/>
  <c r="AM32" s="1"/>
  <c r="B14" i="2"/>
  <c r="X16" i="1"/>
  <c r="X14"/>
  <c r="B12" i="2"/>
  <c r="V25" i="1"/>
  <c r="K24" i="2"/>
  <c r="L24" s="1"/>
  <c r="D11" i="3"/>
  <c r="D35" s="1"/>
  <c r="B11" i="2"/>
  <c r="X13" i="1"/>
  <c r="D19" i="2"/>
  <c r="U21" i="4" s="1"/>
  <c r="Z21" s="1"/>
  <c r="T21"/>
  <c r="W21" s="1"/>
  <c r="B15" i="2"/>
  <c r="X17" i="1"/>
  <c r="D17" i="2"/>
  <c r="U19" i="4" s="1"/>
  <c r="Z19" s="1"/>
  <c r="T19"/>
  <c r="W19" s="1"/>
  <c r="T12"/>
  <c r="W12" s="1"/>
  <c r="D10" i="2"/>
  <c r="U12" i="4" s="1"/>
  <c r="Z12" s="1"/>
  <c r="D21" i="3"/>
  <c r="K35" i="2"/>
  <c r="R26" s="1"/>
  <c r="B32" i="3"/>
  <c r="B33"/>
  <c r="T22" i="4"/>
  <c r="W22" s="1"/>
  <c r="D20" i="2"/>
  <c r="U22" i="4" s="1"/>
  <c r="Z22" s="1"/>
  <c r="W18" i="1"/>
  <c r="W24" l="1"/>
  <c r="AK21"/>
  <c r="AK29" s="1"/>
  <c r="AA33" s="1"/>
  <c r="B14" i="3" s="1"/>
  <c r="B34" s="1"/>
  <c r="AK20" i="1"/>
  <c r="X18"/>
  <c r="AF17"/>
  <c r="T17" i="4"/>
  <c r="W17" s="1"/>
  <c r="D15" i="2"/>
  <c r="U17" i="4" s="1"/>
  <c r="Z17" s="1"/>
  <c r="T13"/>
  <c r="W13" s="1"/>
  <c r="D11" i="2"/>
  <c r="U13" i="4" s="1"/>
  <c r="Z13" s="1"/>
  <c r="V28" i="1"/>
  <c r="W25"/>
  <c r="T16" i="4"/>
  <c r="W16" s="1"/>
  <c r="D14" i="2"/>
  <c r="U16" i="4" s="1"/>
  <c r="Z16" s="1"/>
  <c r="D18" i="2"/>
  <c r="U20" i="4" s="1"/>
  <c r="Z20" s="1"/>
  <c r="T20"/>
  <c r="W20" s="1"/>
  <c r="D33" i="3"/>
  <c r="D32"/>
  <c r="T15" i="4"/>
  <c r="W15" s="1"/>
  <c r="D13" i="2"/>
  <c r="U15" i="4" s="1"/>
  <c r="Z15" s="1"/>
  <c r="AL30" i="1"/>
  <c r="AM22"/>
  <c r="E35" i="3"/>
  <c r="G35"/>
  <c r="I35"/>
  <c r="D12" i="2"/>
  <c r="U14" i="4" s="1"/>
  <c r="Z14" s="1"/>
  <c r="T14"/>
  <c r="W14" s="1"/>
  <c r="R23" i="2"/>
  <c r="R32" s="1"/>
  <c r="AH20" i="4" s="1"/>
  <c r="K41" i="2"/>
  <c r="X23" i="1"/>
  <c r="B22" i="2"/>
  <c r="D16"/>
  <c r="U18" i="4" s="1"/>
  <c r="Z18" s="1"/>
  <c r="T18"/>
  <c r="W18" s="1"/>
  <c r="AK28" i="1" l="1"/>
  <c r="AA34" s="1"/>
  <c r="B15" i="3" s="1"/>
  <c r="B31" s="1"/>
  <c r="B36" s="1"/>
  <c r="X24" i="1"/>
  <c r="AH22" i="4"/>
  <c r="E32" i="3"/>
  <c r="I32"/>
  <c r="T24" i="4"/>
  <c r="W24" s="1"/>
  <c r="D22" i="2"/>
  <c r="U24" i="4" s="1"/>
  <c r="Z24" s="1"/>
  <c r="AB32" i="1"/>
  <c r="C13" i="3" s="1"/>
  <c r="AM30" i="1"/>
  <c r="AC32" s="1"/>
  <c r="E33" i="3"/>
  <c r="I33"/>
  <c r="V29" i="1"/>
  <c r="V34" s="1"/>
  <c r="W28"/>
  <c r="W29" s="1"/>
  <c r="W34" l="1"/>
  <c r="AL21"/>
  <c r="V44"/>
  <c r="AL20"/>
  <c r="K26" i="2"/>
  <c r="L26" s="1"/>
  <c r="D13" i="3"/>
  <c r="AI32" i="4"/>
  <c r="X34" i="1" l="1"/>
  <c r="X44" s="1"/>
  <c r="W44"/>
  <c r="B23" i="2"/>
  <c r="AM20" i="1"/>
  <c r="AL28"/>
  <c r="AM21"/>
  <c r="AL29"/>
  <c r="AM29" l="1"/>
  <c r="AC33" s="1"/>
  <c r="AB33"/>
  <c r="C14" i="3" s="1"/>
  <c r="C34" s="1"/>
  <c r="AB34" i="1"/>
  <c r="C15" i="3" s="1"/>
  <c r="C31" s="1"/>
  <c r="AM28" i="1"/>
  <c r="AC34" s="1"/>
  <c r="T25" i="4"/>
  <c r="B24" i="2"/>
  <c r="D23"/>
  <c r="C36" i="3" l="1"/>
  <c r="U25" i="4"/>
  <c r="D24" i="2"/>
  <c r="K27"/>
  <c r="D14" i="3"/>
  <c r="D34" s="1"/>
  <c r="C23" i="2"/>
  <c r="C17"/>
  <c r="C19"/>
  <c r="C16"/>
  <c r="C18"/>
  <c r="C14"/>
  <c r="C22"/>
  <c r="C15"/>
  <c r="C21"/>
  <c r="C20"/>
  <c r="C12"/>
  <c r="C10"/>
  <c r="C11"/>
  <c r="C13"/>
  <c r="K28"/>
  <c r="L28" s="1"/>
  <c r="D15" i="3"/>
  <c r="D31" s="1"/>
  <c r="L27" i="2" l="1"/>
  <c r="L29" s="1"/>
  <c r="V15" s="1"/>
  <c r="K29"/>
  <c r="Z25" i="4"/>
  <c r="Z26" s="1"/>
  <c r="W25"/>
  <c r="W26" s="1"/>
  <c r="I31" i="3"/>
  <c r="G31"/>
  <c r="D36"/>
  <c r="G12"/>
  <c r="P13" i="2" s="1"/>
  <c r="E31" i="3"/>
  <c r="E34"/>
  <c r="G11" s="1"/>
  <c r="P12" i="2" s="1"/>
  <c r="I34" i="3"/>
  <c r="G34"/>
  <c r="C24" i="2"/>
  <c r="U27" i="4" l="1"/>
  <c r="F10" i="2" s="1"/>
  <c r="K27" i="4"/>
  <c r="N27" s="1"/>
  <c r="Q12" i="2"/>
  <c r="L27" i="4" s="1"/>
  <c r="Q25" s="1"/>
  <c r="K28"/>
  <c r="N28" s="1"/>
  <c r="Q13" i="2"/>
  <c r="L28" i="4" s="1"/>
  <c r="Q26" s="1"/>
  <c r="G36" i="3"/>
  <c r="E36"/>
  <c r="G21" s="1"/>
  <c r="I21" s="1"/>
  <c r="I36"/>
  <c r="AC11" i="4" l="1"/>
  <c r="AD11" s="1"/>
  <c r="G22" i="3"/>
  <c r="G10"/>
  <c r="P11" i="2" s="1"/>
  <c r="P41"/>
  <c r="Q41" s="1"/>
  <c r="Q11" l="1"/>
  <c r="L26" i="4" s="1"/>
  <c r="Q24" s="1"/>
  <c r="K26"/>
  <c r="N26" s="1"/>
  <c r="AC12"/>
  <c r="P42" i="2"/>
  <c r="G23" i="3"/>
  <c r="I22"/>
  <c r="I23" s="1"/>
  <c r="G9"/>
  <c r="P10" i="2" l="1"/>
  <c r="G16" i="3"/>
  <c r="G15"/>
  <c r="P16" i="2" s="1"/>
  <c r="AC13" i="4"/>
  <c r="AD12"/>
  <c r="AD13" s="1"/>
  <c r="Q42" i="2"/>
  <c r="Q43" s="1"/>
  <c r="P43"/>
  <c r="Q10" l="1"/>
  <c r="K25" i="4"/>
  <c r="N25" s="1"/>
  <c r="N31" s="1"/>
  <c r="AF13"/>
  <c r="AC17" s="1"/>
  <c r="AC32" s="1"/>
  <c r="X13" i="2" s="1"/>
  <c r="T19"/>
  <c r="T11"/>
  <c r="Q16" l="1"/>
  <c r="L25" i="4"/>
  <c r="Q23" l="1"/>
  <c r="Q29" s="1"/>
  <c r="L32" s="1"/>
  <c r="AF32" s="1"/>
  <c r="AF35" s="1"/>
  <c r="Z13" i="2" s="1"/>
  <c r="V11"/>
  <c r="V19"/>
</calcChain>
</file>

<file path=xl/sharedStrings.xml><?xml version="1.0" encoding="utf-8"?>
<sst xmlns="http://schemas.openxmlformats.org/spreadsheetml/2006/main" count="845" uniqueCount="286">
  <si>
    <t>Basis</t>
  </si>
  <si>
    <t>Switchgrass</t>
  </si>
  <si>
    <t>Conversion:</t>
  </si>
  <si>
    <t>In Iowa</t>
  </si>
  <si>
    <t>tons/year</t>
  </si>
  <si>
    <t>tons/acre</t>
  </si>
  <si>
    <t>Switchgrass Mass Fraction</t>
  </si>
  <si>
    <t>C</t>
  </si>
  <si>
    <t>H</t>
  </si>
  <si>
    <t>O</t>
  </si>
  <si>
    <t>N</t>
  </si>
  <si>
    <t>S</t>
  </si>
  <si>
    <t>Ash</t>
  </si>
  <si>
    <t>1st Cut</t>
  </si>
  <si>
    <t>2nd Cut</t>
  </si>
  <si>
    <t>Date:</t>
  </si>
  <si>
    <t>Total</t>
  </si>
  <si>
    <t>1st cut</t>
  </si>
  <si>
    <t>2nd cut</t>
  </si>
  <si>
    <t>lb/year</t>
  </si>
  <si>
    <t>lb element/year</t>
  </si>
  <si>
    <t>lbmol/year</t>
  </si>
  <si>
    <t>Ash Composition</t>
  </si>
  <si>
    <t>Element</t>
  </si>
  <si>
    <t>Cl</t>
  </si>
  <si>
    <t>SiO2</t>
  </si>
  <si>
    <t>Al2O3</t>
  </si>
  <si>
    <t>Fe2O3</t>
  </si>
  <si>
    <t>MgO</t>
  </si>
  <si>
    <t>CaO</t>
  </si>
  <si>
    <t>Na2O</t>
  </si>
  <si>
    <t>K2O</t>
  </si>
  <si>
    <t>P2O5</t>
  </si>
  <si>
    <t>Ignition</t>
  </si>
  <si>
    <t>Elements</t>
  </si>
  <si>
    <t>Syngas Composition</t>
  </si>
  <si>
    <t>CO2</t>
  </si>
  <si>
    <t>CO</t>
  </si>
  <si>
    <t>H2</t>
  </si>
  <si>
    <t>CH4</t>
  </si>
  <si>
    <t>C2H4</t>
  </si>
  <si>
    <t>C2H6</t>
  </si>
  <si>
    <t>HHV</t>
  </si>
  <si>
    <t>(MJ/Nm3)</t>
  </si>
  <si>
    <t>Carbon Conversion</t>
  </si>
  <si>
    <t>%</t>
  </si>
  <si>
    <t>SynGas</t>
  </si>
  <si>
    <t>MW</t>
  </si>
  <si>
    <t>g/m3</t>
  </si>
  <si>
    <t>Tar</t>
  </si>
  <si>
    <t>lb/ft3</t>
  </si>
  <si>
    <t>Mol Fract.</t>
  </si>
  <si>
    <t>Assume equal amount each cut</t>
  </si>
  <si>
    <t>R (ft3 psi/R lbmol)</t>
  </si>
  <si>
    <t>lb/hr</t>
  </si>
  <si>
    <t>Inputs</t>
  </si>
  <si>
    <t>Calculated Data</t>
  </si>
  <si>
    <t>H20</t>
  </si>
  <si>
    <t>Other components:</t>
  </si>
  <si>
    <t>H2S</t>
  </si>
  <si>
    <t>NH3</t>
  </si>
  <si>
    <t>HCl</t>
  </si>
  <si>
    <t>P (psi)</t>
  </si>
  <si>
    <t>COS</t>
  </si>
  <si>
    <t>HCN</t>
  </si>
  <si>
    <t>N2</t>
  </si>
  <si>
    <t>Moisture</t>
  </si>
  <si>
    <t>acres/yr</t>
  </si>
  <si>
    <t>Moisture %</t>
  </si>
  <si>
    <t>Dry</t>
  </si>
  <si>
    <t>With Moisture</t>
  </si>
  <si>
    <t>H2O</t>
  </si>
  <si>
    <t>Total other components</t>
  </si>
  <si>
    <t>Tar Composition</t>
  </si>
  <si>
    <t>Mol %</t>
  </si>
  <si>
    <t xml:space="preserve">H </t>
  </si>
  <si>
    <t>lb fract.</t>
  </si>
  <si>
    <t>References</t>
  </si>
  <si>
    <t>Higman, C., van der Burgt, M., "Gasification"</t>
  </si>
  <si>
    <t>(Higman 151)</t>
  </si>
  <si>
    <t>Steam Feed</t>
  </si>
  <si>
    <t>(Philips 21)</t>
  </si>
  <si>
    <t>lb/lbdry biomass</t>
  </si>
  <si>
    <t>Paiseley, Overend "The SilvaGas Process"</t>
  </si>
  <si>
    <t>(Paiseley 3)</t>
  </si>
  <si>
    <t>http://www.silvagas.com/advantages.htm</t>
  </si>
  <si>
    <t>(Paiseley 4)</t>
  </si>
  <si>
    <r>
      <rPr>
        <sz val="11"/>
        <color theme="1"/>
        <rFont val="Calibri"/>
        <family val="2"/>
        <scheme val="minor"/>
      </rPr>
      <t>Syn Gas Comp.</t>
    </r>
    <r>
      <rPr>
        <b/>
        <sz val="11"/>
        <color indexed="8"/>
        <rFont val="Calibri"/>
        <family val="2"/>
      </rPr>
      <t>(Paiseley 3)</t>
    </r>
  </si>
  <si>
    <r>
      <t xml:space="preserve">No SOx </t>
    </r>
    <r>
      <rPr>
        <b/>
        <sz val="11"/>
        <color indexed="8"/>
        <rFont val="Calibri"/>
        <family val="2"/>
      </rPr>
      <t>(Silvagas.com)</t>
    </r>
  </si>
  <si>
    <t>To Char</t>
  </si>
  <si>
    <r>
      <rPr>
        <sz val="11"/>
        <color theme="1"/>
        <rFont val="Calibri"/>
        <family val="2"/>
        <scheme val="minor"/>
      </rPr>
      <t>8.3% S to char</t>
    </r>
    <r>
      <rPr>
        <b/>
        <sz val="11"/>
        <color indexed="8"/>
        <rFont val="Calibri"/>
        <family val="2"/>
      </rPr>
      <t xml:space="preserve"> (Philips 112)</t>
    </r>
  </si>
  <si>
    <r>
      <rPr>
        <sz val="11"/>
        <color theme="1"/>
        <rFont val="Calibri"/>
        <family val="2"/>
        <scheme val="minor"/>
      </rPr>
      <t>% S to char</t>
    </r>
    <r>
      <rPr>
        <b/>
        <sz val="11"/>
        <color indexed="8"/>
        <rFont val="Calibri"/>
        <family val="2"/>
      </rPr>
      <t xml:space="preserve"> (Philips 112)</t>
    </r>
  </si>
  <si>
    <r>
      <t xml:space="preserve">H2S/COS = 9 </t>
    </r>
    <r>
      <rPr>
        <b/>
        <sz val="11"/>
        <color indexed="8"/>
        <rFont val="Calibri"/>
        <family val="2"/>
      </rPr>
      <t xml:space="preserve"> (Higman 24)</t>
    </r>
  </si>
  <si>
    <r>
      <t xml:space="preserve">% N to char </t>
    </r>
    <r>
      <rPr>
        <b/>
        <sz val="11"/>
        <color indexed="8"/>
        <rFont val="Calibri"/>
        <family val="2"/>
      </rPr>
      <t>(Philips 112)</t>
    </r>
  </si>
  <si>
    <r>
      <t>No NOx</t>
    </r>
    <r>
      <rPr>
        <b/>
        <sz val="11"/>
        <color indexed="8"/>
        <rFont val="Calibri"/>
        <family val="2"/>
      </rPr>
      <t xml:space="preserve"> (Silvagas.com)</t>
    </r>
    <r>
      <rPr>
        <sz val="11"/>
        <color theme="1"/>
        <rFont val="Calibri"/>
        <family val="2"/>
        <scheme val="minor"/>
      </rPr>
      <t xml:space="preserve">  NH3 = 25% of N </t>
    </r>
    <r>
      <rPr>
        <b/>
        <sz val="11"/>
        <color indexed="8"/>
        <rFont val="Calibri"/>
        <family val="2"/>
      </rPr>
      <t>(Higman 24)</t>
    </r>
  </si>
  <si>
    <r>
      <t xml:space="preserve">6.6% to Char </t>
    </r>
    <r>
      <rPr>
        <b/>
        <sz val="11"/>
        <color indexed="8"/>
        <rFont val="Calibri"/>
        <family val="2"/>
      </rPr>
      <t>(Philips 112)</t>
    </r>
    <r>
      <rPr>
        <sz val="11"/>
        <color theme="1"/>
        <rFont val="Calibri"/>
        <family val="2"/>
        <scheme val="minor"/>
      </rPr>
      <t xml:space="preserve">; HCN = 10% of remaining N </t>
    </r>
    <r>
      <rPr>
        <b/>
        <sz val="11"/>
        <color indexed="8"/>
        <rFont val="Calibri"/>
        <family val="2"/>
      </rPr>
      <t xml:space="preserve">(Higman 24); </t>
    </r>
    <r>
      <rPr>
        <sz val="11"/>
        <color theme="1"/>
        <rFont val="Calibri"/>
        <family val="2"/>
        <scheme val="minor"/>
      </rPr>
      <t/>
    </r>
  </si>
  <si>
    <r>
      <t xml:space="preserve">All Chlorine to HCl </t>
    </r>
    <r>
      <rPr>
        <b/>
        <sz val="11"/>
        <color indexed="8"/>
        <rFont val="Calibri"/>
        <family val="2"/>
      </rPr>
      <t>(Silvagas.com)</t>
    </r>
  </si>
  <si>
    <t>Wet Composition</t>
  </si>
  <si>
    <t>(Philips 22)</t>
  </si>
  <si>
    <t>tar volume fract</t>
  </si>
  <si>
    <t>lbmol/ft3</t>
  </si>
  <si>
    <t>V (ft3)</t>
  </si>
  <si>
    <r>
      <t xml:space="preserve">remaining  N is elemental </t>
    </r>
    <r>
      <rPr>
        <b/>
        <sz val="11"/>
        <color indexed="8"/>
        <rFont val="Calibri"/>
        <family val="2"/>
      </rPr>
      <t>(Higman 24)</t>
    </r>
  </si>
  <si>
    <t>V tar (ft3)</t>
  </si>
  <si>
    <t>Tot. V (ft3)</t>
  </si>
  <si>
    <t>Total (no tar)</t>
  </si>
  <si>
    <t>Ultimate Elemental Balance on Syn Gas</t>
  </si>
  <si>
    <t>Entering Elemental Balance</t>
  </si>
  <si>
    <t>IN - OUT w/out Char</t>
  </si>
  <si>
    <t>total</t>
  </si>
  <si>
    <t>Switchgrass Feed</t>
  </si>
  <si>
    <t>IN</t>
  </si>
  <si>
    <t>OUT</t>
  </si>
  <si>
    <t>Total w/tar</t>
  </si>
  <si>
    <t>Laser "Switchgrass Composition Methods"</t>
  </si>
  <si>
    <t>(Laser 7)</t>
  </si>
  <si>
    <t>(Laser 22)</t>
  </si>
  <si>
    <t>http://bioenergy.ornl.gov/papers/misc/switgrs.html</t>
  </si>
  <si>
    <t>(bioenergy.ornl)</t>
  </si>
  <si>
    <t>Other</t>
  </si>
  <si>
    <t>From Gasifier Material</t>
  </si>
  <si>
    <t>Flue Gas</t>
  </si>
  <si>
    <t>Bain, R.L. "Material and Energy Balances for Methanol from Biomass using Biomass Gasifiers"</t>
  </si>
  <si>
    <t>Heat Cap.</t>
  </si>
  <si>
    <t>(Btu/lb/oF)</t>
  </si>
  <si>
    <t>(Bain 35)</t>
  </si>
  <si>
    <t>Feed</t>
  </si>
  <si>
    <t>(lb/lb dry biomass)</t>
  </si>
  <si>
    <t>Circulating SiO2</t>
  </si>
  <si>
    <t>Ratio</t>
  </si>
  <si>
    <t>Combuster</t>
  </si>
  <si>
    <t>Pressure (psia)</t>
  </si>
  <si>
    <t>Temperature R</t>
  </si>
  <si>
    <t>Temperature F</t>
  </si>
  <si>
    <t>Temperature C</t>
  </si>
  <si>
    <t>(Higman 150)</t>
  </si>
  <si>
    <t>Gasifier</t>
  </si>
  <si>
    <t>Circulating  rate</t>
  </si>
  <si>
    <t>Heat (Btu/year)</t>
  </si>
  <si>
    <t>Basu, Prabir, "Combustion and Gasification in Fluidized Beds</t>
  </si>
  <si>
    <t>SO2</t>
  </si>
  <si>
    <t>Btu/lbmol</t>
  </si>
  <si>
    <t>H to H2O 742 kJ/gmol</t>
  </si>
  <si>
    <r>
      <t xml:space="preserve">S: Primarily to SO2 </t>
    </r>
    <r>
      <rPr>
        <b/>
        <sz val="11"/>
        <color theme="1"/>
        <rFont val="Calibri"/>
        <family val="2"/>
        <scheme val="minor"/>
      </rPr>
      <t>(Basu 155)</t>
    </r>
    <r>
      <rPr>
        <sz val="11"/>
        <color theme="1"/>
        <rFont val="Calibri"/>
        <family val="2"/>
        <scheme val="minor"/>
      </rPr>
      <t>; Releases 296 kJ/gmol</t>
    </r>
  </si>
  <si>
    <t>Air Introduced</t>
  </si>
  <si>
    <r>
      <t xml:space="preserve">C: Primarily CO2 </t>
    </r>
    <r>
      <rPr>
        <b/>
        <sz val="11"/>
        <color theme="1"/>
        <rFont val="Calibri"/>
        <family val="2"/>
        <scheme val="minor"/>
      </rPr>
      <t xml:space="preserve">(Basu 121);  </t>
    </r>
    <r>
      <rPr>
        <sz val="11"/>
        <color theme="1"/>
        <rFont val="Calibri"/>
        <family val="2"/>
        <scheme val="minor"/>
      </rPr>
      <t>393.77kJ/mol</t>
    </r>
  </si>
  <si>
    <t>1 kJ/kgmol =</t>
  </si>
  <si>
    <t>Formation</t>
  </si>
  <si>
    <t>cp</t>
  </si>
  <si>
    <t>Btu/lbmol oF</t>
  </si>
  <si>
    <t>http://www.engineeringtoolbox.com/spesific-heat-capacity-gases-d_159.html</t>
  </si>
  <si>
    <t>(reference #9)</t>
  </si>
  <si>
    <t>(Btu/year)</t>
  </si>
  <si>
    <t>Heating</t>
  </si>
  <si>
    <t>Btu/year</t>
  </si>
  <si>
    <t>O2</t>
  </si>
  <si>
    <t>T (F)</t>
  </si>
  <si>
    <t>T (R )</t>
  </si>
  <si>
    <t>P (psia)</t>
  </si>
  <si>
    <t xml:space="preserve">cp </t>
  </si>
  <si>
    <t>Combustion</t>
  </si>
  <si>
    <t>air enters condensed and dry</t>
  </si>
  <si>
    <t>Total w/out N or S</t>
  </si>
  <si>
    <t>NO2</t>
  </si>
  <si>
    <t>SiO2 Circulate rate</t>
  </si>
  <si>
    <t>Ash Tray</t>
  </si>
  <si>
    <t>Total (lb/year)</t>
  </si>
  <si>
    <t>Gasifier (lb/year)</t>
  </si>
  <si>
    <t>Combuster (lb/year)</t>
  </si>
  <si>
    <t>Steam Feed to Gasifier</t>
  </si>
  <si>
    <t>Air Feed to Combustor</t>
  </si>
  <si>
    <t xml:space="preserve">Switchgrass </t>
  </si>
  <si>
    <t>Cp</t>
  </si>
  <si>
    <t>Kaliyan, Morey, "Strategies to Improve Durability of Switchgrass Briquettes"</t>
  </si>
  <si>
    <t>kJ/kg K</t>
  </si>
  <si>
    <t>Btu/lb</t>
  </si>
  <si>
    <t>Comp.</t>
  </si>
  <si>
    <t>No Oxygen or Nitrogen, Ash is inert.</t>
  </si>
  <si>
    <t>HHV elem</t>
  </si>
  <si>
    <r>
      <t xml:space="preserve">subtract HHV elements from HHV of fuel </t>
    </r>
    <r>
      <rPr>
        <b/>
        <sz val="11"/>
        <color theme="1"/>
        <rFont val="Calibri"/>
        <family val="2"/>
        <scheme val="minor"/>
      </rPr>
      <t>(Higman 15)</t>
    </r>
  </si>
  <si>
    <t>ΔHfo</t>
  </si>
  <si>
    <t>Sensible Heat</t>
  </si>
  <si>
    <t>Temperature (F)</t>
  </si>
  <si>
    <t>Temperature Gasifier (F)</t>
  </si>
  <si>
    <t>Standard</t>
  </si>
  <si>
    <t>psia</t>
  </si>
  <si>
    <t>Btu/lb F</t>
  </si>
  <si>
    <t>Switchgrass Cp (kJ/kg C)</t>
  </si>
  <si>
    <t>Assume:</t>
  </si>
  <si>
    <t>Switchgrass Heat In</t>
  </si>
  <si>
    <t>Sensible Heat plus Heat of Formation</t>
  </si>
  <si>
    <t>Minimum of Sat. Temp at p of gasifier</t>
  </si>
  <si>
    <t>Superheat to 300-400 C (572-752 F)</t>
  </si>
  <si>
    <t>Min. of 106 oC (222 F)</t>
  </si>
  <si>
    <t>kJ/mol</t>
  </si>
  <si>
    <t>Δhfo Steam</t>
  </si>
  <si>
    <t>Switchgrass Moisture Heat In</t>
  </si>
  <si>
    <t>1.0035 kJ/kg K spec heat cap Air</t>
  </si>
  <si>
    <t>Air Heat In</t>
  </si>
  <si>
    <t>Heat In</t>
  </si>
  <si>
    <t>Steam Feed Heat In</t>
  </si>
  <si>
    <t>http://test.sdsu.edu/testhome/Test/solve/basics/tables/tablesComb/formation-Eng.html</t>
  </si>
  <si>
    <t>A</t>
  </si>
  <si>
    <t>B</t>
  </si>
  <si>
    <t>D</t>
  </si>
  <si>
    <t>J/mol K</t>
  </si>
  <si>
    <t>T(K)</t>
  </si>
  <si>
    <t>Sensible H</t>
  </si>
  <si>
    <t>cp/R = A+BT+CT2+DT-2</t>
  </si>
  <si>
    <t>Heat Syngas Out</t>
  </si>
  <si>
    <t>T Flue Gas (F)</t>
  </si>
  <si>
    <t>Heat Flue Gas Out</t>
  </si>
  <si>
    <t>Heat Out</t>
  </si>
  <si>
    <t>T(F)</t>
  </si>
  <si>
    <t>T avg. (f)</t>
  </si>
  <si>
    <t>Tavg. (F)</t>
  </si>
  <si>
    <t>T (K)</t>
  </si>
  <si>
    <t>T Flue Gas (K)</t>
  </si>
  <si>
    <t>Tavg. (K)</t>
  </si>
  <si>
    <t>T Flue Gas</t>
  </si>
  <si>
    <t>T Switchgrass</t>
  </si>
  <si>
    <t>T Air</t>
  </si>
  <si>
    <t>T Steam</t>
  </si>
  <si>
    <t>oF</t>
  </si>
  <si>
    <t>T Syn Gas</t>
  </si>
  <si>
    <t>Excess Air</t>
  </si>
  <si>
    <t>T(K)low</t>
  </si>
  <si>
    <t>T (oF)</t>
  </si>
  <si>
    <t>cp (Btu/lb)</t>
  </si>
  <si>
    <t>cp taken from SiO2</t>
  </si>
  <si>
    <t>% Q out</t>
  </si>
  <si>
    <t>Heat Ash</t>
  </si>
  <si>
    <t>lb/lb dry biomass</t>
  </si>
  <si>
    <t>Appendix 2</t>
  </si>
  <si>
    <t>Material and Energy Balance over Gasifier</t>
  </si>
  <si>
    <t>Key:</t>
  </si>
  <si>
    <t>Reference</t>
  </si>
  <si>
    <t>(Higman 69)</t>
  </si>
  <si>
    <t>8000 hrs/yr</t>
  </si>
  <si>
    <t>Gasifier Material Balance: Switchgrass Composition</t>
  </si>
  <si>
    <t>From lb/year balance</t>
  </si>
  <si>
    <t xml:space="preserve">From Feedstock </t>
  </si>
  <si>
    <t>Balance</t>
  </si>
  <si>
    <t>Syngas</t>
  </si>
  <si>
    <t>Gasifier Conditions</t>
  </si>
  <si>
    <t>T K</t>
  </si>
  <si>
    <t>T (oC)</t>
  </si>
  <si>
    <t>T (R)</t>
  </si>
  <si>
    <r>
      <rPr>
        <sz val="11"/>
        <color theme="1"/>
        <rFont val="Calibri"/>
        <family val="2"/>
        <scheme val="minor"/>
      </rPr>
      <t xml:space="preserve">Tar as C10H8 </t>
    </r>
    <r>
      <rPr>
        <b/>
        <sz val="11"/>
        <color indexed="8"/>
        <rFont val="Calibri"/>
        <family val="2"/>
      </rPr>
      <t xml:space="preserve">(Philips 22)  </t>
    </r>
  </si>
  <si>
    <t>Gasifier Mass Balance: Syngas Composition, tar content, moisture content, and Vol.</t>
  </si>
  <si>
    <t>Gasifier Mass Balance: Sulfur and Nitrogen Compounds in Syngas, Parsing to Char</t>
  </si>
  <si>
    <r>
      <t>% O to char;</t>
    </r>
    <r>
      <rPr>
        <b/>
        <sz val="11"/>
        <color indexed="8"/>
        <rFont val="Calibri"/>
        <family val="2"/>
      </rPr>
      <t>(Philips 112)</t>
    </r>
  </si>
  <si>
    <t>Equals Char comp. from prev. page</t>
  </si>
  <si>
    <t>Gasifier Mass Balance: Confirmation</t>
  </si>
  <si>
    <r>
      <t xml:space="preserve">N:NO ratio 6:75 </t>
    </r>
    <r>
      <rPr>
        <b/>
        <sz val="11"/>
        <color theme="1"/>
        <rFont val="Calibri"/>
        <family val="2"/>
        <scheme val="minor"/>
      </rPr>
      <t>(Basu 173</t>
    </r>
    <r>
      <rPr>
        <sz val="11"/>
        <color theme="1"/>
        <rFont val="Calibri"/>
        <family val="2"/>
        <scheme val="minor"/>
      </rPr>
      <t>); Releases 172 kJ/gmol for NO</t>
    </r>
  </si>
  <si>
    <t>Combustor Material Balance: Air Feed, Char Combustion, Flue Gas Composition</t>
  </si>
  <si>
    <t>Beginning Energy Balance, Sand Balance</t>
  </si>
  <si>
    <t>equals heat evolved from combustion</t>
  </si>
  <si>
    <t>on previous page</t>
  </si>
  <si>
    <t>Antoine Coefficients</t>
  </si>
  <si>
    <t>done by energy balance</t>
  </si>
  <si>
    <r>
      <t xml:space="preserve">compare to 36 lb/lb in </t>
    </r>
    <r>
      <rPr>
        <b/>
        <sz val="11"/>
        <color theme="1"/>
        <rFont val="Calibri"/>
        <family val="2"/>
        <scheme val="minor"/>
      </rPr>
      <t>Bain</t>
    </r>
  </si>
  <si>
    <t>T inlet (F)</t>
  </si>
  <si>
    <t xml:space="preserve">Total  O </t>
  </si>
  <si>
    <t>Total Heat Ev.</t>
  </si>
  <si>
    <t>(lbmol/year)</t>
  </si>
  <si>
    <t>Energy Balance: Switchgrass Enthalpy: Dryfeed and Moisture</t>
  </si>
  <si>
    <t>Energy Balance: Flue Gas and Steam Feed Enthalpies</t>
  </si>
  <si>
    <t>Energy Balance: Syn Gas Enthalpy</t>
  </si>
  <si>
    <t>Heat Out w/ Ash and Lost Heat</t>
  </si>
  <si>
    <t>Energy Balance: Air Enthalpy, Temperature Summary, Ash Enthalpy, and Balance Summary</t>
  </si>
  <si>
    <t>From All Streams</t>
  </si>
  <si>
    <t>Cyclone</t>
  </si>
  <si>
    <t>SiO2 from Combustor</t>
  </si>
  <si>
    <t>Char to Combustor</t>
  </si>
  <si>
    <t>Overall Summary: Gasifier</t>
  </si>
  <si>
    <t>Overall Summary: Combustor</t>
  </si>
  <si>
    <t>Air</t>
  </si>
  <si>
    <t>Combustor</t>
  </si>
  <si>
    <t>Product</t>
  </si>
  <si>
    <t>Circulate</t>
  </si>
  <si>
    <t>Overall Summary, References</t>
  </si>
  <si>
    <t xml:space="preserve">Philips, S., Aden, A., Jechura, J., and Dayton, D., "Thermochemical Ethanol via Indirect </t>
  </si>
  <si>
    <t>Gasification and Mixed Alcohol Synthesis of Lignocellulosic Biomass" April 2007</t>
  </si>
  <si>
    <t xml:space="preserve">Smith, J. M., Van Ness, H.C., Abbott, M.M. </t>
  </si>
  <si>
    <t>"Introduction to Chemical Engineering Thermodynamics" 7th Ed.</t>
  </si>
</sst>
</file>

<file path=xl/styles.xml><?xml version="1.0" encoding="utf-8"?>
<styleSheet xmlns="http://schemas.openxmlformats.org/spreadsheetml/2006/main">
  <numFmts count="3">
    <numFmt numFmtId="164" formatCode="0.000E+00"/>
    <numFmt numFmtId="165" formatCode="0.0000E+00"/>
    <numFmt numFmtId="166" formatCode="0.0%"/>
  </numFmts>
  <fonts count="6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49">
    <xf numFmtId="0" fontId="0" fillId="0" borderId="0" xfId="0"/>
    <xf numFmtId="0" fontId="2" fillId="2" borderId="2" xfId="0" applyFont="1" applyFill="1" applyBorder="1"/>
    <xf numFmtId="0" fontId="0" fillId="2" borderId="3" xfId="0" applyFill="1" applyBorder="1"/>
    <xf numFmtId="0" fontId="2" fillId="2" borderId="4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2" fillId="2" borderId="11" xfId="0" applyFont="1" applyFill="1" applyBorder="1"/>
    <xf numFmtId="0" fontId="2" fillId="2" borderId="5" xfId="0" applyFont="1" applyFill="1" applyBorder="1"/>
    <xf numFmtId="0" fontId="0" fillId="2" borderId="12" xfId="0" applyFill="1" applyBorder="1"/>
    <xf numFmtId="0" fontId="0" fillId="0" borderId="5" xfId="0" applyBorder="1"/>
    <xf numFmtId="0" fontId="2" fillId="2" borderId="0" xfId="0" applyFont="1" applyFill="1"/>
    <xf numFmtId="11" fontId="2" fillId="2" borderId="4" xfId="0" applyNumberFormat="1" applyFont="1" applyFill="1" applyBorder="1"/>
    <xf numFmtId="11" fontId="0" fillId="2" borderId="5" xfId="0" applyNumberFormat="1" applyFill="1" applyBorder="1"/>
    <xf numFmtId="11" fontId="0" fillId="2" borderId="6" xfId="0" applyNumberFormat="1" applyFill="1" applyBorder="1"/>
    <xf numFmtId="11" fontId="0" fillId="2" borderId="0" xfId="0" applyNumberFormat="1" applyFill="1" applyBorder="1"/>
    <xf numFmtId="11" fontId="0" fillId="2" borderId="7" xfId="0" applyNumberFormat="1" applyFill="1" applyBorder="1"/>
    <xf numFmtId="11" fontId="0" fillId="2" borderId="8" xfId="0" applyNumberFormat="1" applyFill="1" applyBorder="1"/>
    <xf numFmtId="11" fontId="0" fillId="2" borderId="12" xfId="0" applyNumberFormat="1" applyFill="1" applyBorder="1"/>
    <xf numFmtId="11" fontId="0" fillId="2" borderId="13" xfId="0" applyNumberFormat="1" applyFill="1" applyBorder="1"/>
    <xf numFmtId="11" fontId="0" fillId="2" borderId="14" xfId="0" applyNumberFormat="1" applyFill="1" applyBorder="1"/>
    <xf numFmtId="11" fontId="0" fillId="2" borderId="9" xfId="0" applyNumberFormat="1" applyFill="1" applyBorder="1"/>
    <xf numFmtId="11" fontId="0" fillId="2" borderId="1" xfId="0" applyNumberFormat="1" applyFill="1" applyBorder="1"/>
    <xf numFmtId="11" fontId="0" fillId="2" borderId="15" xfId="0" applyNumberFormat="1" applyFill="1" applyBorder="1"/>
    <xf numFmtId="11" fontId="0" fillId="2" borderId="10" xfId="0" applyNumberFormat="1" applyFill="1" applyBorder="1"/>
    <xf numFmtId="11" fontId="0" fillId="2" borderId="16" xfId="0" applyNumberFormat="1" applyFill="1" applyBorder="1"/>
    <xf numFmtId="11" fontId="0" fillId="2" borderId="17" xfId="0" applyNumberFormat="1" applyFill="1" applyBorder="1"/>
    <xf numFmtId="11" fontId="2" fillId="2" borderId="18" xfId="0" applyNumberFormat="1" applyFont="1" applyFill="1" applyBorder="1"/>
    <xf numFmtId="11" fontId="0" fillId="2" borderId="19" xfId="0" applyNumberFormat="1" applyFill="1" applyBorder="1"/>
    <xf numFmtId="11" fontId="0" fillId="2" borderId="20" xfId="0" applyNumberFormat="1" applyFill="1" applyBorder="1"/>
    <xf numFmtId="11" fontId="0" fillId="2" borderId="21" xfId="0" applyNumberFormat="1" applyFill="1" applyBorder="1"/>
    <xf numFmtId="11" fontId="0" fillId="2" borderId="22" xfId="0" applyNumberFormat="1" applyFill="1" applyBorder="1"/>
    <xf numFmtId="0" fontId="0" fillId="2" borderId="2" xfId="0" applyFill="1" applyBorder="1"/>
    <xf numFmtId="0" fontId="3" fillId="3" borderId="6" xfId="0" applyFont="1" applyFill="1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0" fillId="4" borderId="26" xfId="0" applyFill="1" applyBorder="1"/>
    <xf numFmtId="0" fontId="2" fillId="3" borderId="0" xfId="0" applyFont="1" applyFill="1"/>
    <xf numFmtId="0" fontId="2" fillId="4" borderId="0" xfId="0" applyFont="1" applyFill="1"/>
    <xf numFmtId="0" fontId="2" fillId="4" borderId="2" xfId="0" applyFont="1" applyFill="1" applyBorder="1"/>
    <xf numFmtId="0" fontId="0" fillId="4" borderId="27" xfId="0" applyFill="1" applyBorder="1"/>
    <xf numFmtId="0" fontId="0" fillId="4" borderId="28" xfId="0" applyFill="1" applyBorder="1"/>
    <xf numFmtId="0" fontId="0" fillId="4" borderId="3" xfId="0" applyFill="1" applyBorder="1"/>
    <xf numFmtId="0" fontId="2" fillId="4" borderId="12" xfId="0" applyFont="1" applyFill="1" applyBorder="1"/>
    <xf numFmtId="0" fontId="0" fillId="4" borderId="14" xfId="0" applyFill="1" applyBorder="1"/>
    <xf numFmtId="0" fontId="2" fillId="4" borderId="23" xfId="0" applyFont="1" applyFill="1" applyBorder="1"/>
    <xf numFmtId="0" fontId="0" fillId="4" borderId="29" xfId="0" applyFill="1" applyBorder="1"/>
    <xf numFmtId="0" fontId="0" fillId="4" borderId="30" xfId="0" applyFill="1" applyBorder="1"/>
    <xf numFmtId="0" fontId="0" fillId="4" borderId="0" xfId="0" applyFill="1" applyBorder="1"/>
    <xf numFmtId="0" fontId="0" fillId="4" borderId="31" xfId="0" applyFill="1" applyBorder="1"/>
    <xf numFmtId="16" fontId="0" fillId="4" borderId="0" xfId="0" applyNumberFormat="1" applyFill="1" applyBorder="1"/>
    <xf numFmtId="16" fontId="0" fillId="4" borderId="31" xfId="0" applyNumberFormat="1" applyFill="1" applyBorder="1"/>
    <xf numFmtId="0" fontId="2" fillId="4" borderId="24" xfId="0" applyFont="1" applyFill="1" applyBorder="1"/>
    <xf numFmtId="0" fontId="2" fillId="3" borderId="30" xfId="0" applyFont="1" applyFill="1" applyBorder="1"/>
    <xf numFmtId="0" fontId="0" fillId="3" borderId="0" xfId="0" applyFill="1" applyBorder="1"/>
    <xf numFmtId="0" fontId="0" fillId="3" borderId="31" xfId="0" applyFill="1" applyBorder="1"/>
    <xf numFmtId="0" fontId="0" fillId="3" borderId="32" xfId="0" applyFill="1" applyBorder="1"/>
    <xf numFmtId="0" fontId="0" fillId="3" borderId="26" xfId="0" applyFill="1" applyBorder="1"/>
    <xf numFmtId="0" fontId="2" fillId="0" borderId="0" xfId="0" applyFont="1" applyAlignment="1">
      <alignment horizontal="center"/>
    </xf>
    <xf numFmtId="11" fontId="0" fillId="0" borderId="0" xfId="0" applyNumberFormat="1"/>
    <xf numFmtId="0" fontId="2" fillId="2" borderId="7" xfId="0" applyFont="1" applyFill="1" applyBorder="1"/>
    <xf numFmtId="0" fontId="0" fillId="4" borderId="2" xfId="0" applyFill="1" applyBorder="1"/>
    <xf numFmtId="11" fontId="2" fillId="2" borderId="11" xfId="0" applyNumberFormat="1" applyFont="1" applyFill="1" applyBorder="1"/>
    <xf numFmtId="11" fontId="0" fillId="2" borderId="28" xfId="0" applyNumberFormat="1" applyFill="1" applyBorder="1"/>
    <xf numFmtId="11" fontId="0" fillId="2" borderId="33" xfId="0" applyNumberFormat="1" applyFill="1" applyBorder="1"/>
    <xf numFmtId="11" fontId="0" fillId="2" borderId="3" xfId="0" applyNumberFormat="1" applyFill="1" applyBorder="1"/>
    <xf numFmtId="11" fontId="0" fillId="2" borderId="2" xfId="0" applyNumberFormat="1" applyFill="1" applyBorder="1"/>
    <xf numFmtId="0" fontId="0" fillId="2" borderId="4" xfId="0" applyFill="1" applyBorder="1"/>
    <xf numFmtId="0" fontId="0" fillId="2" borderId="34" xfId="0" applyFill="1" applyBorder="1"/>
    <xf numFmtId="11" fontId="0" fillId="2" borderId="35" xfId="0" applyNumberFormat="1" applyFill="1" applyBorder="1"/>
    <xf numFmtId="0" fontId="0" fillId="4" borderId="0" xfId="0" applyFill="1"/>
    <xf numFmtId="11" fontId="0" fillId="2" borderId="36" xfId="0" applyNumberFormat="1" applyFill="1" applyBorder="1"/>
    <xf numFmtId="0" fontId="2" fillId="2" borderId="23" xfId="0" applyFont="1" applyFill="1" applyBorder="1"/>
    <xf numFmtId="11" fontId="0" fillId="2" borderId="25" xfId="0" applyNumberFormat="1" applyFill="1" applyBorder="1"/>
    <xf numFmtId="0" fontId="2" fillId="3" borderId="25" xfId="0" applyFont="1" applyFill="1" applyBorder="1"/>
    <xf numFmtId="0" fontId="0" fillId="3" borderId="37" xfId="0" applyFill="1" applyBorder="1"/>
    <xf numFmtId="0" fontId="2" fillId="3" borderId="38" xfId="0" applyFont="1" applyFill="1" applyBorder="1"/>
    <xf numFmtId="0" fontId="0" fillId="5" borderId="5" xfId="0" applyFill="1" applyBorder="1"/>
    <xf numFmtId="0" fontId="0" fillId="5" borderId="6" xfId="0" applyFill="1" applyBorder="1"/>
    <xf numFmtId="0" fontId="0" fillId="3" borderId="34" xfId="0" applyFill="1" applyBorder="1"/>
    <xf numFmtId="0" fontId="0" fillId="4" borderId="34" xfId="0" applyFill="1" applyBorder="1"/>
    <xf numFmtId="0" fontId="0" fillId="5" borderId="34" xfId="0" applyFill="1" applyBorder="1"/>
    <xf numFmtId="0" fontId="2" fillId="2" borderId="34" xfId="0" applyFont="1" applyFill="1" applyBorder="1"/>
    <xf numFmtId="0" fontId="0" fillId="2" borderId="39" xfId="0" applyFill="1" applyBorder="1"/>
    <xf numFmtId="0" fontId="0" fillId="2" borderId="37" xfId="0" applyFill="1" applyBorder="1"/>
    <xf numFmtId="0" fontId="2" fillId="2" borderId="0" xfId="0" applyFont="1" applyFill="1" applyBorder="1"/>
    <xf numFmtId="0" fontId="2" fillId="0" borderId="0" xfId="0" applyFont="1" applyFill="1" applyBorder="1"/>
    <xf numFmtId="0" fontId="0" fillId="0" borderId="0" xfId="0" applyFill="1" applyBorder="1"/>
    <xf numFmtId="11" fontId="0" fillId="0" borderId="0" xfId="0" applyNumberFormat="1" applyFill="1" applyBorder="1"/>
    <xf numFmtId="0" fontId="2" fillId="4" borderId="11" xfId="0" applyFont="1" applyFill="1" applyBorder="1"/>
    <xf numFmtId="0" fontId="0" fillId="4" borderId="40" xfId="0" applyFill="1" applyBorder="1"/>
    <xf numFmtId="0" fontId="0" fillId="4" borderId="41" xfId="0" applyFill="1" applyBorder="1"/>
    <xf numFmtId="0" fontId="0" fillId="4" borderId="6" xfId="0" applyFill="1" applyBorder="1"/>
    <xf numFmtId="0" fontId="0" fillId="4" borderId="20" xfId="0" applyFill="1" applyBorder="1"/>
    <xf numFmtId="0" fontId="0" fillId="4" borderId="21" xfId="0" applyFill="1" applyBorder="1"/>
    <xf numFmtId="0" fontId="2" fillId="3" borderId="22" xfId="0" applyFont="1" applyFill="1" applyBorder="1"/>
    <xf numFmtId="0" fontId="0" fillId="3" borderId="42" xfId="0" applyFill="1" applyBorder="1"/>
    <xf numFmtId="0" fontId="0" fillId="3" borderId="16" xfId="0" applyFill="1" applyBorder="1"/>
    <xf numFmtId="0" fontId="0" fillId="4" borderId="5" xfId="0" applyFill="1" applyBorder="1"/>
    <xf numFmtId="0" fontId="0" fillId="4" borderId="7" xfId="0" applyFill="1" applyBorder="1"/>
    <xf numFmtId="0" fontId="0" fillId="4" borderId="9" xfId="0" applyFill="1" applyBorder="1"/>
    <xf numFmtId="0" fontId="0" fillId="4" borderId="15" xfId="0" applyFill="1" applyBorder="1"/>
    <xf numFmtId="0" fontId="2" fillId="3" borderId="10" xfId="0" applyFont="1" applyFill="1" applyBorder="1"/>
    <xf numFmtId="0" fontId="2" fillId="0" borderId="0" xfId="0" applyFont="1"/>
    <xf numFmtId="0" fontId="0" fillId="0" borderId="4" xfId="0" applyBorder="1"/>
    <xf numFmtId="0" fontId="2" fillId="2" borderId="6" xfId="0" applyFont="1" applyFill="1" applyBorder="1"/>
    <xf numFmtId="0" fontId="2" fillId="2" borderId="10" xfId="0" applyFont="1" applyFill="1" applyBorder="1"/>
    <xf numFmtId="0" fontId="2" fillId="6" borderId="11" xfId="0" applyFont="1" applyFill="1" applyBorder="1"/>
    <xf numFmtId="0" fontId="0" fillId="6" borderId="4" xfId="0" applyFill="1" applyBorder="1"/>
    <xf numFmtId="0" fontId="0" fillId="6" borderId="5" xfId="0" applyFill="1" applyBorder="1"/>
    <xf numFmtId="0" fontId="0" fillId="3" borderId="36" xfId="0" applyFill="1" applyBorder="1"/>
    <xf numFmtId="0" fontId="0" fillId="4" borderId="35" xfId="0" applyFill="1" applyBorder="1"/>
    <xf numFmtId="0" fontId="0" fillId="4" borderId="43" xfId="0" applyFill="1" applyBorder="1"/>
    <xf numFmtId="11" fontId="0" fillId="2" borderId="23" xfId="0" applyNumberFormat="1" applyFill="1" applyBorder="1"/>
    <xf numFmtId="11" fontId="0" fillId="2" borderId="29" xfId="0" applyNumberFormat="1" applyFill="1" applyBorder="1"/>
    <xf numFmtId="11" fontId="0" fillId="2" borderId="24" xfId="0" applyNumberFormat="1" applyFill="1" applyBorder="1"/>
    <xf numFmtId="11" fontId="0" fillId="2" borderId="32" xfId="0" applyNumberFormat="1" applyFill="1" applyBorder="1"/>
    <xf numFmtId="11" fontId="0" fillId="2" borderId="26" xfId="0" applyNumberFormat="1" applyFill="1" applyBorder="1"/>
    <xf numFmtId="0" fontId="2" fillId="3" borderId="34" xfId="0" applyFont="1" applyFill="1" applyBorder="1"/>
    <xf numFmtId="0" fontId="0" fillId="3" borderId="43" xfId="0" applyFill="1" applyBorder="1"/>
    <xf numFmtId="0" fontId="0" fillId="3" borderId="35" xfId="0" applyFill="1" applyBorder="1"/>
    <xf numFmtId="0" fontId="0" fillId="3" borderId="7" xfId="0" applyFill="1" applyBorder="1"/>
    <xf numFmtId="0" fontId="0" fillId="3" borderId="39" xfId="0" applyFill="1" applyBorder="1"/>
    <xf numFmtId="0" fontId="0" fillId="3" borderId="38" xfId="0" applyFill="1" applyBorder="1"/>
    <xf numFmtId="0" fontId="0" fillId="3" borderId="44" xfId="0" applyFill="1" applyBorder="1"/>
    <xf numFmtId="0" fontId="2" fillId="3" borderId="37" xfId="0" applyFont="1" applyFill="1" applyBorder="1"/>
    <xf numFmtId="0" fontId="2" fillId="3" borderId="45" xfId="0" applyFont="1" applyFill="1" applyBorder="1"/>
    <xf numFmtId="0" fontId="0" fillId="3" borderId="29" xfId="0" applyFill="1" applyBorder="1"/>
    <xf numFmtId="0" fontId="0" fillId="3" borderId="24" xfId="0" applyFill="1" applyBorder="1"/>
    <xf numFmtId="0" fontId="2" fillId="3" borderId="6" xfId="0" applyFont="1" applyFill="1" applyBorder="1"/>
    <xf numFmtId="0" fontId="0" fillId="2" borderId="30" xfId="0" applyFill="1" applyBorder="1"/>
    <xf numFmtId="11" fontId="0" fillId="2" borderId="31" xfId="0" applyNumberFormat="1" applyFill="1" applyBorder="1"/>
    <xf numFmtId="11" fontId="0" fillId="2" borderId="46" xfId="0" applyNumberFormat="1" applyFill="1" applyBorder="1"/>
    <xf numFmtId="11" fontId="0" fillId="2" borderId="47" xfId="0" applyNumberFormat="1" applyFill="1" applyBorder="1"/>
    <xf numFmtId="11" fontId="0" fillId="2" borderId="48" xfId="0" applyNumberFormat="1" applyFill="1" applyBorder="1"/>
    <xf numFmtId="11" fontId="0" fillId="5" borderId="7" xfId="0" applyNumberFormat="1" applyFill="1" applyBorder="1"/>
    <xf numFmtId="11" fontId="0" fillId="5" borderId="16" xfId="0" applyNumberFormat="1" applyFill="1" applyBorder="1"/>
    <xf numFmtId="11" fontId="0" fillId="2" borderId="49" xfId="0" applyNumberFormat="1" applyFill="1" applyBorder="1"/>
    <xf numFmtId="0" fontId="0" fillId="5" borderId="4" xfId="0" applyFill="1" applyBorder="1"/>
    <xf numFmtId="0" fontId="2" fillId="5" borderId="11" xfId="0" applyFont="1" applyFill="1" applyBorder="1"/>
    <xf numFmtId="0" fontId="0" fillId="4" borderId="38" xfId="0" applyFont="1" applyFill="1" applyBorder="1"/>
    <xf numFmtId="1" fontId="0" fillId="4" borderId="38" xfId="0" applyNumberFormat="1" applyFill="1" applyBorder="1"/>
    <xf numFmtId="11" fontId="0" fillId="2" borderId="52" xfId="0" applyNumberFormat="1" applyFill="1" applyBorder="1"/>
    <xf numFmtId="11" fontId="2" fillId="2" borderId="7" xfId="0" applyNumberFormat="1" applyFont="1" applyFill="1" applyBorder="1"/>
    <xf numFmtId="11" fontId="2" fillId="2" borderId="14" xfId="0" applyNumberFormat="1" applyFont="1" applyFill="1" applyBorder="1"/>
    <xf numFmtId="0" fontId="2" fillId="6" borderId="4" xfId="0" applyFont="1" applyFill="1" applyBorder="1"/>
    <xf numFmtId="0" fontId="2" fillId="5" borderId="4" xfId="0" applyFont="1" applyFill="1" applyBorder="1"/>
    <xf numFmtId="0" fontId="0" fillId="5" borderId="8" xfId="0" applyFill="1" applyBorder="1"/>
    <xf numFmtId="0" fontId="0" fillId="2" borderId="44" xfId="0" applyFill="1" applyBorder="1"/>
    <xf numFmtId="0" fontId="2" fillId="5" borderId="27" xfId="0" applyFont="1" applyFill="1" applyBorder="1"/>
    <xf numFmtId="11" fontId="0" fillId="5" borderId="5" xfId="0" applyNumberFormat="1" applyFill="1" applyBorder="1"/>
    <xf numFmtId="0" fontId="2" fillId="5" borderId="34" xfId="0" applyFont="1" applyFill="1" applyBorder="1"/>
    <xf numFmtId="0" fontId="2" fillId="5" borderId="2" xfId="0" applyFont="1" applyFill="1" applyBorder="1"/>
    <xf numFmtId="11" fontId="0" fillId="2" borderId="55" xfId="0" applyNumberFormat="1" applyFill="1" applyBorder="1"/>
    <xf numFmtId="11" fontId="0" fillId="2" borderId="56" xfId="0" applyNumberFormat="1" applyFill="1" applyBorder="1"/>
    <xf numFmtId="11" fontId="0" fillId="5" borderId="57" xfId="0" applyNumberFormat="1" applyFill="1" applyBorder="1"/>
    <xf numFmtId="11" fontId="0" fillId="5" borderId="3" xfId="0" applyNumberFormat="1" applyFill="1" applyBorder="1"/>
    <xf numFmtId="11" fontId="0" fillId="2" borderId="27" xfId="0" applyNumberFormat="1" applyFill="1" applyBorder="1"/>
    <xf numFmtId="11" fontId="0" fillId="5" borderId="28" xfId="0" applyNumberFormat="1" applyFill="1" applyBorder="1"/>
    <xf numFmtId="11" fontId="0" fillId="5" borderId="27" xfId="0" applyNumberFormat="1" applyFill="1" applyBorder="1"/>
    <xf numFmtId="11" fontId="0" fillId="5" borderId="53" xfId="0" applyNumberFormat="1" applyFill="1" applyBorder="1"/>
    <xf numFmtId="11" fontId="0" fillId="2" borderId="39" xfId="0" applyNumberFormat="1" applyFill="1" applyBorder="1"/>
    <xf numFmtId="0" fontId="2" fillId="2" borderId="22" xfId="0" applyFont="1" applyFill="1" applyBorder="1"/>
    <xf numFmtId="11" fontId="0" fillId="2" borderId="58" xfId="0" applyNumberFormat="1" applyFill="1" applyBorder="1"/>
    <xf numFmtId="0" fontId="0" fillId="2" borderId="18" xfId="0" applyFill="1" applyBorder="1"/>
    <xf numFmtId="0" fontId="2" fillId="2" borderId="48" xfId="0" applyFont="1" applyFill="1" applyBorder="1"/>
    <xf numFmtId="11" fontId="0" fillId="2" borderId="35" xfId="0" applyNumberFormat="1" applyFont="1" applyFill="1" applyBorder="1"/>
    <xf numFmtId="0" fontId="2" fillId="2" borderId="18" xfId="0" applyFont="1" applyFill="1" applyBorder="1"/>
    <xf numFmtId="0" fontId="2" fillId="2" borderId="40" xfId="0" applyFont="1" applyFill="1" applyBorder="1"/>
    <xf numFmtId="11" fontId="0" fillId="2" borderId="34" xfId="0" applyNumberFormat="1" applyFont="1" applyFill="1" applyBorder="1"/>
    <xf numFmtId="11" fontId="0" fillId="2" borderId="53" xfId="0" applyNumberFormat="1" applyFont="1" applyFill="1" applyBorder="1"/>
    <xf numFmtId="0" fontId="2" fillId="0" borderId="11" xfId="0" applyFont="1" applyBorder="1"/>
    <xf numFmtId="11" fontId="2" fillId="5" borderId="2" xfId="0" applyNumberFormat="1" applyFont="1" applyFill="1" applyBorder="1"/>
    <xf numFmtId="0" fontId="2" fillId="2" borderId="3" xfId="0" applyFont="1" applyFill="1" applyBorder="1"/>
    <xf numFmtId="11" fontId="0" fillId="2" borderId="53" xfId="0" applyNumberFormat="1" applyFill="1" applyBorder="1"/>
    <xf numFmtId="11" fontId="2" fillId="2" borderId="27" xfId="0" applyNumberFormat="1" applyFont="1" applyFill="1" applyBorder="1"/>
    <xf numFmtId="9" fontId="0" fillId="0" borderId="0" xfId="0" applyNumberFormat="1"/>
    <xf numFmtId="0" fontId="2" fillId="4" borderId="4" xfId="0" applyFont="1" applyFill="1" applyBorder="1"/>
    <xf numFmtId="0" fontId="0" fillId="4" borderId="4" xfId="0" applyFill="1" applyBorder="1"/>
    <xf numFmtId="0" fontId="2" fillId="4" borderId="0" xfId="0" applyFont="1" applyFill="1" applyBorder="1"/>
    <xf numFmtId="0" fontId="0" fillId="4" borderId="10" xfId="0" applyFill="1" applyBorder="1"/>
    <xf numFmtId="0" fontId="0" fillId="7" borderId="6" xfId="0" applyFill="1" applyBorder="1"/>
    <xf numFmtId="0" fontId="0" fillId="3" borderId="6" xfId="0" applyFill="1" applyBorder="1"/>
    <xf numFmtId="0" fontId="0" fillId="3" borderId="0" xfId="0" applyFill="1"/>
    <xf numFmtId="0" fontId="0" fillId="2" borderId="11" xfId="0" applyFill="1" applyBorder="1"/>
    <xf numFmtId="0" fontId="0" fillId="8" borderId="4" xfId="0" applyFill="1" applyBorder="1"/>
    <xf numFmtId="0" fontId="0" fillId="8" borderId="5" xfId="0" applyFill="1" applyBorder="1"/>
    <xf numFmtId="0" fontId="0" fillId="8" borderId="7" xfId="0" applyFill="1" applyBorder="1"/>
    <xf numFmtId="0" fontId="0" fillId="0" borderId="10" xfId="0" applyBorder="1"/>
    <xf numFmtId="11" fontId="0" fillId="0" borderId="36" xfId="0" applyNumberFormat="1" applyBorder="1"/>
    <xf numFmtId="0" fontId="0" fillId="4" borderId="11" xfId="0" applyFill="1" applyBorder="1"/>
    <xf numFmtId="0" fontId="0" fillId="4" borderId="36" xfId="0" applyFill="1" applyBorder="1"/>
    <xf numFmtId="0" fontId="0" fillId="4" borderId="16" xfId="0" applyFill="1" applyBorder="1"/>
    <xf numFmtId="0" fontId="0" fillId="8" borderId="11" xfId="0" applyFill="1" applyBorder="1"/>
    <xf numFmtId="0" fontId="0" fillId="8" borderId="10" xfId="0" applyFill="1" applyBorder="1"/>
    <xf numFmtId="0" fontId="0" fillId="8" borderId="36" xfId="0" applyFill="1" applyBorder="1"/>
    <xf numFmtId="0" fontId="0" fillId="8" borderId="16" xfId="0" applyFill="1" applyBorder="1"/>
    <xf numFmtId="0" fontId="0" fillId="8" borderId="35" xfId="0" applyFill="1" applyBorder="1"/>
    <xf numFmtId="0" fontId="0" fillId="2" borderId="35" xfId="0" applyFill="1" applyBorder="1"/>
    <xf numFmtId="11" fontId="0" fillId="2" borderId="43" xfId="0" applyNumberFormat="1" applyFill="1" applyBorder="1"/>
    <xf numFmtId="0" fontId="2" fillId="2" borderId="27" xfId="0" applyFont="1" applyFill="1" applyBorder="1"/>
    <xf numFmtId="0" fontId="0" fillId="8" borderId="6" xfId="0" applyFill="1" applyBorder="1"/>
    <xf numFmtId="0" fontId="0" fillId="2" borderId="27" xfId="0" applyFill="1" applyBorder="1"/>
    <xf numFmtId="0" fontId="2" fillId="4" borderId="27" xfId="0" applyFont="1" applyFill="1" applyBorder="1"/>
    <xf numFmtId="0" fontId="0" fillId="0" borderId="27" xfId="0" applyBorder="1"/>
    <xf numFmtId="11" fontId="0" fillId="4" borderId="53" xfId="0" applyNumberFormat="1" applyFill="1" applyBorder="1"/>
    <xf numFmtId="11" fontId="0" fillId="0" borderId="53" xfId="0" applyNumberFormat="1" applyFill="1" applyBorder="1"/>
    <xf numFmtId="0" fontId="4" fillId="0" borderId="0" xfId="1" applyAlignment="1" applyProtection="1"/>
    <xf numFmtId="0" fontId="0" fillId="8" borderId="0" xfId="0" applyFill="1" applyBorder="1"/>
    <xf numFmtId="0" fontId="0" fillId="4" borderId="7" xfId="0" applyNumberFormat="1" applyFill="1" applyBorder="1"/>
    <xf numFmtId="11" fontId="0" fillId="0" borderId="35" xfId="0" applyNumberFormat="1" applyBorder="1"/>
    <xf numFmtId="0" fontId="2" fillId="9" borderId="11" xfId="0" applyFont="1" applyFill="1" applyBorder="1"/>
    <xf numFmtId="0" fontId="2" fillId="9" borderId="2" xfId="0" applyFont="1" applyFill="1" applyBorder="1"/>
    <xf numFmtId="0" fontId="0" fillId="9" borderId="6" xfId="0" applyFill="1" applyBorder="1"/>
    <xf numFmtId="0" fontId="2" fillId="9" borderId="27" xfId="0" applyFont="1" applyFill="1" applyBorder="1"/>
    <xf numFmtId="0" fontId="0" fillId="9" borderId="8" xfId="0" applyFill="1" applyBorder="1"/>
    <xf numFmtId="2" fontId="0" fillId="9" borderId="28" xfId="0" applyNumberFormat="1" applyFill="1" applyBorder="1"/>
    <xf numFmtId="11" fontId="0" fillId="9" borderId="28" xfId="0" applyNumberFormat="1" applyFill="1" applyBorder="1"/>
    <xf numFmtId="2" fontId="0" fillId="9" borderId="27" xfId="0" applyNumberFormat="1" applyFill="1" applyBorder="1"/>
    <xf numFmtId="11" fontId="0" fillId="9" borderId="27" xfId="0" applyNumberFormat="1" applyFill="1" applyBorder="1"/>
    <xf numFmtId="0" fontId="0" fillId="9" borderId="9" xfId="0" applyFill="1" applyBorder="1"/>
    <xf numFmtId="2" fontId="0" fillId="9" borderId="33" xfId="0" applyNumberFormat="1" applyFill="1" applyBorder="1"/>
    <xf numFmtId="0" fontId="0" fillId="9" borderId="44" xfId="0" applyFill="1" applyBorder="1"/>
    <xf numFmtId="2" fontId="0" fillId="9" borderId="54" xfId="0" applyNumberFormat="1" applyFill="1" applyBorder="1"/>
    <xf numFmtId="11" fontId="0" fillId="9" borderId="54" xfId="0" applyNumberFormat="1" applyFill="1" applyBorder="1"/>
    <xf numFmtId="2" fontId="0" fillId="9" borderId="53" xfId="0" applyNumberFormat="1" applyFill="1" applyBorder="1"/>
    <xf numFmtId="11" fontId="0" fillId="9" borderId="53" xfId="0" applyNumberFormat="1" applyFill="1" applyBorder="1"/>
    <xf numFmtId="0" fontId="2" fillId="9" borderId="34" xfId="0" applyFont="1" applyFill="1" applyBorder="1"/>
    <xf numFmtId="11" fontId="0" fillId="9" borderId="3" xfId="0" applyNumberFormat="1" applyFill="1" applyBorder="1"/>
    <xf numFmtId="0" fontId="0" fillId="0" borderId="7" xfId="0" applyBorder="1"/>
    <xf numFmtId="0" fontId="0" fillId="0" borderId="6" xfId="0" applyBorder="1"/>
    <xf numFmtId="0" fontId="2" fillId="6" borderId="34" xfId="0" applyFont="1" applyFill="1" applyBorder="1"/>
    <xf numFmtId="11" fontId="0" fillId="6" borderId="43" xfId="0" applyNumberFormat="1" applyFill="1" applyBorder="1"/>
    <xf numFmtId="0" fontId="0" fillId="9" borderId="11" xfId="0" applyFill="1" applyBorder="1"/>
    <xf numFmtId="0" fontId="2" fillId="9" borderId="5" xfId="0" applyFont="1" applyFill="1" applyBorder="1"/>
    <xf numFmtId="11" fontId="0" fillId="9" borderId="6" xfId="0" applyNumberFormat="1" applyFill="1" applyBorder="1"/>
    <xf numFmtId="0" fontId="2" fillId="9" borderId="7" xfId="0" applyFont="1" applyFill="1" applyBorder="1"/>
    <xf numFmtId="11" fontId="0" fillId="9" borderId="7" xfId="0" applyNumberFormat="1" applyFill="1" applyBorder="1"/>
    <xf numFmtId="11" fontId="0" fillId="9" borderId="43" xfId="0" applyNumberFormat="1" applyFill="1" applyBorder="1"/>
    <xf numFmtId="0" fontId="2" fillId="7" borderId="11" xfId="0" applyFont="1" applyFill="1" applyBorder="1"/>
    <xf numFmtId="0" fontId="2" fillId="7" borderId="5" xfId="0" applyFont="1" applyFill="1" applyBorder="1"/>
    <xf numFmtId="0" fontId="2" fillId="7" borderId="10" xfId="0" applyFont="1" applyFill="1" applyBorder="1"/>
    <xf numFmtId="11" fontId="0" fillId="7" borderId="16" xfId="0" applyNumberFormat="1" applyFill="1" applyBorder="1"/>
    <xf numFmtId="0" fontId="2" fillId="5" borderId="5" xfId="0" applyFont="1" applyFill="1" applyBorder="1"/>
    <xf numFmtId="0" fontId="2" fillId="5" borderId="10" xfId="0" applyFont="1" applyFill="1" applyBorder="1"/>
    <xf numFmtId="11" fontId="0" fillId="5" borderId="36" xfId="0" applyNumberFormat="1" applyFill="1" applyBorder="1"/>
    <xf numFmtId="0" fontId="2" fillId="7" borderId="7" xfId="0" applyFont="1" applyFill="1" applyBorder="1"/>
    <xf numFmtId="11" fontId="0" fillId="7" borderId="7" xfId="0" applyNumberFormat="1" applyFill="1" applyBorder="1"/>
    <xf numFmtId="0" fontId="0" fillId="7" borderId="10" xfId="0" applyFill="1" applyBorder="1"/>
    <xf numFmtId="0" fontId="2" fillId="7" borderId="2" xfId="0" applyFont="1" applyFill="1" applyBorder="1"/>
    <xf numFmtId="0" fontId="2" fillId="7" borderId="27" xfId="0" applyFont="1" applyFill="1" applyBorder="1"/>
    <xf numFmtId="11" fontId="0" fillId="7" borderId="27" xfId="0" applyNumberFormat="1" applyFill="1" applyBorder="1"/>
    <xf numFmtId="11" fontId="0" fillId="7" borderId="3" xfId="0" applyNumberFormat="1" applyFill="1" applyBorder="1"/>
    <xf numFmtId="0" fontId="2" fillId="7" borderId="34" xfId="0" applyFont="1" applyFill="1" applyBorder="1"/>
    <xf numFmtId="11" fontId="0" fillId="9" borderId="2" xfId="0" applyNumberFormat="1" applyFill="1" applyBorder="1"/>
    <xf numFmtId="0" fontId="0" fillId="9" borderId="34" xfId="0" applyFill="1" applyBorder="1"/>
    <xf numFmtId="0" fontId="0" fillId="0" borderId="3" xfId="0" applyBorder="1"/>
    <xf numFmtId="0" fontId="0" fillId="9" borderId="3" xfId="0" applyFill="1" applyBorder="1"/>
    <xf numFmtId="11" fontId="2" fillId="9" borderId="3" xfId="0" applyNumberFormat="1" applyFont="1" applyFill="1" applyBorder="1"/>
    <xf numFmtId="11" fontId="2" fillId="9" borderId="53" xfId="0" applyNumberFormat="1" applyFont="1" applyFill="1" applyBorder="1"/>
    <xf numFmtId="0" fontId="2" fillId="9" borderId="10" xfId="0" applyFont="1" applyFill="1" applyBorder="1"/>
    <xf numFmtId="11" fontId="0" fillId="3" borderId="6" xfId="0" applyNumberFormat="1" applyFill="1" applyBorder="1"/>
    <xf numFmtId="0" fontId="0" fillId="0" borderId="0" xfId="0" applyFill="1"/>
    <xf numFmtId="11" fontId="0" fillId="4" borderId="36" xfId="0" applyNumberFormat="1" applyFill="1" applyBorder="1"/>
    <xf numFmtId="11" fontId="0" fillId="2" borderId="11" xfId="0" applyNumberFormat="1" applyFill="1" applyBorder="1"/>
    <xf numFmtId="11" fontId="2" fillId="2" borderId="34" xfId="0" applyNumberFormat="1" applyFont="1" applyFill="1" applyBorder="1"/>
    <xf numFmtId="0" fontId="2" fillId="4" borderId="3" xfId="0" applyFont="1" applyFill="1" applyBorder="1"/>
    <xf numFmtId="0" fontId="0" fillId="2" borderId="36" xfId="0" applyFill="1" applyBorder="1"/>
    <xf numFmtId="0" fontId="5" fillId="4" borderId="16" xfId="0" applyFont="1" applyFill="1" applyBorder="1"/>
    <xf numFmtId="0" fontId="0" fillId="6" borderId="34" xfId="0" applyFill="1" applyBorder="1"/>
    <xf numFmtId="0" fontId="0" fillId="2" borderId="43" xfId="0" applyFill="1" applyBorder="1"/>
    <xf numFmtId="0" fontId="0" fillId="2" borderId="16" xfId="0" applyFill="1" applyBorder="1"/>
    <xf numFmtId="0" fontId="0" fillId="4" borderId="53" xfId="0" applyFill="1" applyBorder="1"/>
    <xf numFmtId="0" fontId="2" fillId="2" borderId="16" xfId="0" applyFont="1" applyFill="1" applyBorder="1"/>
    <xf numFmtId="0" fontId="2" fillId="6" borderId="35" xfId="0" applyFont="1" applyFill="1" applyBorder="1"/>
    <xf numFmtId="0" fontId="0" fillId="8" borderId="34" xfId="0" applyFill="1" applyBorder="1"/>
    <xf numFmtId="0" fontId="0" fillId="8" borderId="43" xfId="0" applyFill="1" applyBorder="1"/>
    <xf numFmtId="164" fontId="0" fillId="6" borderId="43" xfId="0" applyNumberFormat="1" applyFill="1" applyBorder="1"/>
    <xf numFmtId="11" fontId="2" fillId="7" borderId="11" xfId="0" applyNumberFormat="1" applyFont="1" applyFill="1" applyBorder="1"/>
    <xf numFmtId="0" fontId="0" fillId="7" borderId="2" xfId="0" applyFill="1" applyBorder="1"/>
    <xf numFmtId="11" fontId="0" fillId="7" borderId="6" xfId="0" applyNumberFormat="1" applyFill="1" applyBorder="1"/>
    <xf numFmtId="11" fontId="2" fillId="7" borderId="22" xfId="0" applyNumberFormat="1" applyFont="1" applyFill="1" applyBorder="1"/>
    <xf numFmtId="11" fontId="2" fillId="7" borderId="54" xfId="0" applyNumberFormat="1" applyFont="1" applyFill="1" applyBorder="1"/>
    <xf numFmtId="0" fontId="0" fillId="7" borderId="3" xfId="0" applyFill="1" applyBorder="1"/>
    <xf numFmtId="0" fontId="2" fillId="7" borderId="53" xfId="0" applyFont="1" applyFill="1" applyBorder="1"/>
    <xf numFmtId="0" fontId="2" fillId="7" borderId="3" xfId="0" applyFont="1" applyFill="1" applyBorder="1"/>
    <xf numFmtId="0" fontId="2" fillId="7" borderId="8" xfId="0" applyFont="1" applyFill="1" applyBorder="1"/>
    <xf numFmtId="0" fontId="2" fillId="7" borderId="22" xfId="0" applyFont="1" applyFill="1" applyBorder="1"/>
    <xf numFmtId="11" fontId="2" fillId="7" borderId="28" xfId="0" applyNumberFormat="1" applyFont="1" applyFill="1" applyBorder="1"/>
    <xf numFmtId="11" fontId="2" fillId="7" borderId="53" xfId="0" applyNumberFormat="1" applyFont="1" applyFill="1" applyBorder="1"/>
    <xf numFmtId="11" fontId="0" fillId="9" borderId="33" xfId="0" applyNumberFormat="1" applyFill="1" applyBorder="1"/>
    <xf numFmtId="11" fontId="0" fillId="9" borderId="57" xfId="0" applyNumberFormat="1" applyFill="1" applyBorder="1"/>
    <xf numFmtId="0" fontId="2" fillId="9" borderId="53" xfId="0" applyFont="1" applyFill="1" applyBorder="1"/>
    <xf numFmtId="0" fontId="2" fillId="9" borderId="3" xfId="0" applyFont="1" applyFill="1" applyBorder="1"/>
    <xf numFmtId="0" fontId="2" fillId="5" borderId="53" xfId="0" applyFont="1" applyFill="1" applyBorder="1"/>
    <xf numFmtId="0" fontId="2" fillId="5" borderId="3" xfId="0" applyFont="1" applyFill="1" applyBorder="1"/>
    <xf numFmtId="11" fontId="2" fillId="7" borderId="16" xfId="0" applyNumberFormat="1" applyFont="1" applyFill="1" applyBorder="1"/>
    <xf numFmtId="0" fontId="0" fillId="2" borderId="0" xfId="0" applyFont="1" applyFill="1" applyBorder="1"/>
    <xf numFmtId="0" fontId="0" fillId="5" borderId="36" xfId="0" applyFill="1" applyBorder="1"/>
    <xf numFmtId="11" fontId="2" fillId="0" borderId="0" xfId="0" applyNumberFormat="1" applyFont="1"/>
    <xf numFmtId="166" fontId="0" fillId="0" borderId="0" xfId="0" applyNumberFormat="1"/>
    <xf numFmtId="166" fontId="2" fillId="0" borderId="0" xfId="0" applyNumberFormat="1" applyFont="1"/>
    <xf numFmtId="11" fontId="0" fillId="0" borderId="0" xfId="0" applyNumberFormat="1" applyBorder="1"/>
    <xf numFmtId="0" fontId="2" fillId="3" borderId="3" xfId="0" applyFont="1" applyFill="1" applyBorder="1"/>
    <xf numFmtId="11" fontId="0" fillId="3" borderId="0" xfId="0" applyNumberFormat="1" applyFill="1"/>
    <xf numFmtId="11" fontId="0" fillId="3" borderId="27" xfId="0" applyNumberFormat="1" applyFill="1" applyBorder="1"/>
    <xf numFmtId="0" fontId="2" fillId="3" borderId="1" xfId="0" applyFont="1" applyFill="1" applyBorder="1"/>
    <xf numFmtId="0" fontId="0" fillId="0" borderId="0" xfId="0" applyBorder="1"/>
    <xf numFmtId="0" fontId="0" fillId="0" borderId="37" xfId="0" applyBorder="1"/>
    <xf numFmtId="0" fontId="2" fillId="2" borderId="39" xfId="0" applyFont="1" applyFill="1" applyBorder="1"/>
    <xf numFmtId="0" fontId="0" fillId="0" borderId="16" xfId="0" applyBorder="1"/>
    <xf numFmtId="0" fontId="2" fillId="0" borderId="5" xfId="0" applyFont="1" applyBorder="1"/>
    <xf numFmtId="0" fontId="2" fillId="2" borderId="35" xfId="0" applyFont="1" applyFill="1" applyBorder="1"/>
    <xf numFmtId="0" fontId="2" fillId="2" borderId="43" xfId="0" applyFont="1" applyFill="1" applyBorder="1"/>
    <xf numFmtId="11" fontId="0" fillId="2" borderId="18" xfId="0" applyNumberFormat="1" applyFill="1" applyBorder="1"/>
    <xf numFmtId="0" fontId="2" fillId="2" borderId="53" xfId="0" applyFont="1" applyFill="1" applyBorder="1"/>
    <xf numFmtId="0" fontId="2" fillId="0" borderId="39" xfId="0" applyFont="1" applyBorder="1"/>
    <xf numFmtId="0" fontId="0" fillId="0" borderId="38" xfId="0" applyBorder="1"/>
    <xf numFmtId="0" fontId="2" fillId="0" borderId="38" xfId="0" applyFont="1" applyBorder="1"/>
    <xf numFmtId="0" fontId="0" fillId="3" borderId="25" xfId="0" applyFill="1" applyBorder="1"/>
    <xf numFmtId="11" fontId="0" fillId="2" borderId="38" xfId="0" applyNumberFormat="1" applyFill="1" applyBorder="1"/>
    <xf numFmtId="11" fontId="0" fillId="2" borderId="37" xfId="0" applyNumberFormat="1" applyFill="1" applyBorder="1"/>
    <xf numFmtId="11" fontId="2" fillId="2" borderId="2" xfId="0" applyNumberFormat="1" applyFont="1" applyFill="1" applyBorder="1"/>
    <xf numFmtId="0" fontId="2" fillId="2" borderId="2" xfId="0" applyFont="1" applyFill="1" applyBorder="1" applyAlignment="1">
      <alignment horizontal="center"/>
    </xf>
    <xf numFmtId="11" fontId="0" fillId="2" borderId="54" xfId="0" applyNumberFormat="1" applyFill="1" applyBorder="1"/>
    <xf numFmtId="11" fontId="0" fillId="2" borderId="30" xfId="0" applyNumberFormat="1" applyFill="1" applyBorder="1"/>
    <xf numFmtId="11" fontId="0" fillId="2" borderId="50" xfId="0" applyNumberFormat="1" applyFill="1" applyBorder="1"/>
    <xf numFmtId="11" fontId="0" fillId="2" borderId="51" xfId="0" applyNumberFormat="1" applyFill="1" applyBorder="1"/>
    <xf numFmtId="0" fontId="2" fillId="0" borderId="0" xfId="0" applyFont="1" applyBorder="1"/>
    <xf numFmtId="165" fontId="0" fillId="0" borderId="0" xfId="0" applyNumberFormat="1" applyFill="1" applyBorder="1"/>
    <xf numFmtId="11" fontId="2" fillId="6" borderId="43" xfId="0" applyNumberFormat="1" applyFont="1" applyFill="1" applyBorder="1"/>
    <xf numFmtId="164" fontId="0" fillId="6" borderId="35" xfId="0" applyNumberFormat="1" applyFill="1" applyBorder="1"/>
    <xf numFmtId="0" fontId="0" fillId="6" borderId="43" xfId="0" applyFill="1" applyBorder="1"/>
    <xf numFmtId="0" fontId="2" fillId="0" borderId="6" xfId="0" applyFont="1" applyFill="1" applyBorder="1"/>
    <xf numFmtId="0" fontId="2" fillId="0" borderId="7" xfId="0" applyFont="1" applyBorder="1"/>
    <xf numFmtId="0" fontId="2" fillId="0" borderId="6" xfId="0" applyFont="1" applyBorder="1"/>
    <xf numFmtId="0" fontId="2" fillId="0" borderId="2" xfId="0" applyFont="1" applyBorder="1"/>
    <xf numFmtId="0" fontId="2" fillId="5" borderId="43" xfId="0" applyFont="1" applyFill="1" applyBorder="1"/>
    <xf numFmtId="11" fontId="2" fillId="5" borderId="43" xfId="0" applyNumberFormat="1" applyFont="1" applyFill="1" applyBorder="1"/>
    <xf numFmtId="0" fontId="2" fillId="9" borderId="0" xfId="0" applyFont="1" applyFill="1"/>
    <xf numFmtId="0" fontId="2" fillId="7" borderId="0" xfId="0" applyFont="1" applyFill="1"/>
    <xf numFmtId="9" fontId="2" fillId="7" borderId="53" xfId="0" applyNumberFormat="1" applyFont="1" applyFill="1" applyBorder="1"/>
    <xf numFmtId="11" fontId="2" fillId="5" borderId="16" xfId="0" applyNumberFormat="1" applyFont="1" applyFill="1" applyBorder="1"/>
    <xf numFmtId="0" fontId="2" fillId="5" borderId="16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83344</xdr:colOff>
      <xdr:row>11</xdr:row>
      <xdr:rowOff>142874</xdr:rowOff>
    </xdr:from>
    <xdr:to>
      <xdr:col>2</xdr:col>
      <xdr:colOff>940594</xdr:colOff>
      <xdr:row>11</xdr:row>
      <xdr:rowOff>144462</xdr:rowOff>
    </xdr:to>
    <xdr:cxnSp macro="">
      <xdr:nvCxnSpPr>
        <xdr:cNvPr id="3" name="Straight Arrow Connector 2"/>
        <xdr:cNvCxnSpPr/>
      </xdr:nvCxnSpPr>
      <xdr:spPr>
        <a:xfrm>
          <a:off x="1428750" y="1726405"/>
          <a:ext cx="8572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95250</xdr:colOff>
      <xdr:row>12</xdr:row>
      <xdr:rowOff>59531</xdr:rowOff>
    </xdr:from>
    <xdr:to>
      <xdr:col>2</xdr:col>
      <xdr:colOff>261937</xdr:colOff>
      <xdr:row>16</xdr:row>
      <xdr:rowOff>0</xdr:rowOff>
    </xdr:to>
    <xdr:cxnSp macro="">
      <xdr:nvCxnSpPr>
        <xdr:cNvPr id="5" name="Straight Arrow Connector 4"/>
        <xdr:cNvCxnSpPr/>
      </xdr:nvCxnSpPr>
      <xdr:spPr>
        <a:xfrm flipV="1">
          <a:off x="1095375" y="1845469"/>
          <a:ext cx="904875" cy="72628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619124</xdr:colOff>
      <xdr:row>22</xdr:row>
      <xdr:rowOff>59531</xdr:rowOff>
    </xdr:from>
    <xdr:to>
      <xdr:col>5</xdr:col>
      <xdr:colOff>23812</xdr:colOff>
      <xdr:row>26</xdr:row>
      <xdr:rowOff>130971</xdr:rowOff>
    </xdr:to>
    <xdr:cxnSp macro="">
      <xdr:nvCxnSpPr>
        <xdr:cNvPr id="7" name="Straight Arrow Connector 6"/>
        <xdr:cNvCxnSpPr/>
      </xdr:nvCxnSpPr>
      <xdr:spPr>
        <a:xfrm rot="5400000" flipH="1" flipV="1">
          <a:off x="3423046" y="4268391"/>
          <a:ext cx="869158" cy="2381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500063</xdr:colOff>
      <xdr:row>13</xdr:row>
      <xdr:rowOff>83343</xdr:rowOff>
    </xdr:from>
    <xdr:to>
      <xdr:col>2</xdr:col>
      <xdr:colOff>226219</xdr:colOff>
      <xdr:row>21</xdr:row>
      <xdr:rowOff>119063</xdr:rowOff>
    </xdr:to>
    <xdr:cxnSp macro="">
      <xdr:nvCxnSpPr>
        <xdr:cNvPr id="10" name="Straight Arrow Connector 9"/>
        <xdr:cNvCxnSpPr/>
      </xdr:nvCxnSpPr>
      <xdr:spPr>
        <a:xfrm rot="5400000" flipH="1" flipV="1">
          <a:off x="916781" y="2655094"/>
          <a:ext cx="1631157" cy="46434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273843</xdr:colOff>
      <xdr:row>13</xdr:row>
      <xdr:rowOff>35718</xdr:rowOff>
    </xdr:from>
    <xdr:to>
      <xdr:col>10</xdr:col>
      <xdr:colOff>523875</xdr:colOff>
      <xdr:row>13</xdr:row>
      <xdr:rowOff>47625</xdr:rowOff>
    </xdr:to>
    <xdr:cxnSp macro="">
      <xdr:nvCxnSpPr>
        <xdr:cNvPr id="12" name="Straight Arrow Connector 11"/>
        <xdr:cNvCxnSpPr/>
      </xdr:nvCxnSpPr>
      <xdr:spPr>
        <a:xfrm>
          <a:off x="6215062" y="2595562"/>
          <a:ext cx="1690688" cy="1190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666751</xdr:colOff>
      <xdr:row>13</xdr:row>
      <xdr:rowOff>178593</xdr:rowOff>
    </xdr:from>
    <xdr:to>
      <xdr:col>9</xdr:col>
      <xdr:colOff>750095</xdr:colOff>
      <xdr:row>20</xdr:row>
      <xdr:rowOff>47625</xdr:rowOff>
    </xdr:to>
    <xdr:cxnSp macro="">
      <xdr:nvCxnSpPr>
        <xdr:cNvPr id="14" name="Straight Arrow Connector 13"/>
        <xdr:cNvCxnSpPr/>
      </xdr:nvCxnSpPr>
      <xdr:spPr>
        <a:xfrm rot="5400000" flipH="1" flipV="1">
          <a:off x="6649641" y="3327797"/>
          <a:ext cx="1262063" cy="8334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35718</xdr:colOff>
      <xdr:row>8</xdr:row>
      <xdr:rowOff>71436</xdr:rowOff>
    </xdr:from>
    <xdr:to>
      <xdr:col>18</xdr:col>
      <xdr:colOff>642937</xdr:colOff>
      <xdr:row>8</xdr:row>
      <xdr:rowOff>202405</xdr:rowOff>
    </xdr:to>
    <xdr:cxnSp macro="">
      <xdr:nvCxnSpPr>
        <xdr:cNvPr id="16" name="Straight Arrow Connector 15"/>
        <xdr:cNvCxnSpPr/>
      </xdr:nvCxnSpPr>
      <xdr:spPr>
        <a:xfrm>
          <a:off x="12692062" y="1619249"/>
          <a:ext cx="607219" cy="13096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95251</xdr:colOff>
      <xdr:row>9</xdr:row>
      <xdr:rowOff>154782</xdr:rowOff>
    </xdr:from>
    <xdr:to>
      <xdr:col>18</xdr:col>
      <xdr:colOff>297657</xdr:colOff>
      <xdr:row>12</xdr:row>
      <xdr:rowOff>0</xdr:rowOff>
    </xdr:to>
    <xdr:cxnSp macro="">
      <xdr:nvCxnSpPr>
        <xdr:cNvPr id="18" name="Straight Arrow Connector 17"/>
        <xdr:cNvCxnSpPr/>
      </xdr:nvCxnSpPr>
      <xdr:spPr>
        <a:xfrm rot="5400000" flipH="1" flipV="1">
          <a:off x="12626579" y="2030017"/>
          <a:ext cx="452437" cy="2024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47625</xdr:colOff>
      <xdr:row>10</xdr:row>
      <xdr:rowOff>166688</xdr:rowOff>
    </xdr:from>
    <xdr:to>
      <xdr:col>18</xdr:col>
      <xdr:colOff>357186</xdr:colOff>
      <xdr:row>20</xdr:row>
      <xdr:rowOff>59532</xdr:rowOff>
    </xdr:to>
    <xdr:cxnSp macro="">
      <xdr:nvCxnSpPr>
        <xdr:cNvPr id="20" name="Straight Arrow Connector 19"/>
        <xdr:cNvCxnSpPr/>
      </xdr:nvCxnSpPr>
      <xdr:spPr>
        <a:xfrm rot="5400000" flipH="1" flipV="1">
          <a:off x="11906250" y="2917032"/>
          <a:ext cx="1905000" cy="30956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35719</xdr:colOff>
      <xdr:row>23</xdr:row>
      <xdr:rowOff>190500</xdr:rowOff>
    </xdr:from>
    <xdr:to>
      <xdr:col>18</xdr:col>
      <xdr:colOff>583406</xdr:colOff>
      <xdr:row>29</xdr:row>
      <xdr:rowOff>95253</xdr:rowOff>
    </xdr:to>
    <xdr:cxnSp macro="">
      <xdr:nvCxnSpPr>
        <xdr:cNvPr id="22" name="Straight Arrow Connector 21"/>
        <xdr:cNvCxnSpPr/>
      </xdr:nvCxnSpPr>
      <xdr:spPr>
        <a:xfrm rot="5400000" flipH="1" flipV="1">
          <a:off x="12543233" y="5006580"/>
          <a:ext cx="1083471" cy="54768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71437</xdr:colOff>
      <xdr:row>34</xdr:row>
      <xdr:rowOff>59533</xdr:rowOff>
    </xdr:from>
    <xdr:to>
      <xdr:col>18</xdr:col>
      <xdr:colOff>666750</xdr:colOff>
      <xdr:row>40</xdr:row>
      <xdr:rowOff>190501</xdr:rowOff>
    </xdr:to>
    <xdr:cxnSp macro="">
      <xdr:nvCxnSpPr>
        <xdr:cNvPr id="25" name="Straight Arrow Connector 24"/>
        <xdr:cNvCxnSpPr/>
      </xdr:nvCxnSpPr>
      <xdr:spPr>
        <a:xfrm rot="5400000" flipH="1" flipV="1">
          <a:off x="12364641" y="7197329"/>
          <a:ext cx="1321593" cy="59531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298452</xdr:colOff>
      <xdr:row>34</xdr:row>
      <xdr:rowOff>119854</xdr:rowOff>
    </xdr:from>
    <xdr:to>
      <xdr:col>20</xdr:col>
      <xdr:colOff>797720</xdr:colOff>
      <xdr:row>37</xdr:row>
      <xdr:rowOff>119063</xdr:rowOff>
    </xdr:to>
    <xdr:cxnSp macro="">
      <xdr:nvCxnSpPr>
        <xdr:cNvPr id="27" name="Straight Arrow Connector 26"/>
        <xdr:cNvCxnSpPr/>
      </xdr:nvCxnSpPr>
      <xdr:spPr>
        <a:xfrm rot="16200000" flipV="1">
          <a:off x="14585950" y="6918325"/>
          <a:ext cx="594521" cy="499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582613</xdr:colOff>
      <xdr:row>29</xdr:row>
      <xdr:rowOff>96043</xdr:rowOff>
    </xdr:from>
    <xdr:to>
      <xdr:col>20</xdr:col>
      <xdr:colOff>584201</xdr:colOff>
      <xdr:row>30</xdr:row>
      <xdr:rowOff>155574</xdr:rowOff>
    </xdr:to>
    <xdr:cxnSp macro="">
      <xdr:nvCxnSpPr>
        <xdr:cNvPr id="29" name="Straight Arrow Connector 28"/>
        <xdr:cNvCxnSpPr/>
      </xdr:nvCxnSpPr>
      <xdr:spPr>
        <a:xfrm rot="5400000">
          <a:off x="14787563" y="5976937"/>
          <a:ext cx="26193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571500</xdr:colOff>
      <xdr:row>34</xdr:row>
      <xdr:rowOff>95250</xdr:rowOff>
    </xdr:from>
    <xdr:to>
      <xdr:col>19</xdr:col>
      <xdr:colOff>595312</xdr:colOff>
      <xdr:row>41</xdr:row>
      <xdr:rowOff>142875</xdr:rowOff>
    </xdr:to>
    <xdr:cxnSp macro="">
      <xdr:nvCxnSpPr>
        <xdr:cNvPr id="33" name="Straight Arrow Connector 32"/>
        <xdr:cNvCxnSpPr/>
      </xdr:nvCxnSpPr>
      <xdr:spPr>
        <a:xfrm rot="16200000" flipH="1">
          <a:off x="13376672" y="7554516"/>
          <a:ext cx="1440656" cy="2381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59531</xdr:colOff>
      <xdr:row>29</xdr:row>
      <xdr:rowOff>23813</xdr:rowOff>
    </xdr:from>
    <xdr:to>
      <xdr:col>18</xdr:col>
      <xdr:colOff>642937</xdr:colOff>
      <xdr:row>32</xdr:row>
      <xdr:rowOff>178594</xdr:rowOff>
    </xdr:to>
    <xdr:cxnSp macro="">
      <xdr:nvCxnSpPr>
        <xdr:cNvPr id="36" name="Straight Arrow Connector 35"/>
        <xdr:cNvCxnSpPr/>
      </xdr:nvCxnSpPr>
      <xdr:spPr>
        <a:xfrm rot="5400000" flipH="1" flipV="1">
          <a:off x="12626578" y="5887641"/>
          <a:ext cx="762000" cy="5834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35718</xdr:colOff>
      <xdr:row>8</xdr:row>
      <xdr:rowOff>71436</xdr:rowOff>
    </xdr:from>
    <xdr:to>
      <xdr:col>26</xdr:col>
      <xdr:colOff>642937</xdr:colOff>
      <xdr:row>8</xdr:row>
      <xdr:rowOff>202405</xdr:rowOff>
    </xdr:to>
    <xdr:cxnSp macro="">
      <xdr:nvCxnSpPr>
        <xdr:cNvPr id="38" name="Straight Arrow Connector 37"/>
        <xdr:cNvCxnSpPr/>
      </xdr:nvCxnSpPr>
      <xdr:spPr>
        <a:xfrm>
          <a:off x="12692062" y="1619249"/>
          <a:ext cx="607219" cy="13096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261937</xdr:colOff>
      <xdr:row>9</xdr:row>
      <xdr:rowOff>178594</xdr:rowOff>
    </xdr:from>
    <xdr:to>
      <xdr:col>26</xdr:col>
      <xdr:colOff>404812</xdr:colOff>
      <xdr:row>17</xdr:row>
      <xdr:rowOff>83345</xdr:rowOff>
    </xdr:to>
    <xdr:cxnSp macro="">
      <xdr:nvCxnSpPr>
        <xdr:cNvPr id="40" name="Straight Arrow Connector 39"/>
        <xdr:cNvCxnSpPr/>
      </xdr:nvCxnSpPr>
      <xdr:spPr>
        <a:xfrm rot="5400000" flipH="1" flipV="1">
          <a:off x="18210609" y="2601516"/>
          <a:ext cx="1512094" cy="1428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583405</xdr:colOff>
      <xdr:row>9</xdr:row>
      <xdr:rowOff>107156</xdr:rowOff>
    </xdr:from>
    <xdr:to>
      <xdr:col>25</xdr:col>
      <xdr:colOff>142874</xdr:colOff>
      <xdr:row>26</xdr:row>
      <xdr:rowOff>71437</xdr:rowOff>
    </xdr:to>
    <xdr:cxnSp macro="">
      <xdr:nvCxnSpPr>
        <xdr:cNvPr id="42" name="Straight Arrow Connector 41"/>
        <xdr:cNvCxnSpPr/>
      </xdr:nvCxnSpPr>
      <xdr:spPr>
        <a:xfrm rot="16200000" flipH="1">
          <a:off x="16246078" y="3351609"/>
          <a:ext cx="3369468" cy="35718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380206</xdr:colOff>
      <xdr:row>24</xdr:row>
      <xdr:rowOff>84138</xdr:rowOff>
    </xdr:from>
    <xdr:to>
      <xdr:col>26</xdr:col>
      <xdr:colOff>381794</xdr:colOff>
      <xdr:row>26</xdr:row>
      <xdr:rowOff>107950</xdr:rowOff>
    </xdr:to>
    <xdr:cxnSp macro="">
      <xdr:nvCxnSpPr>
        <xdr:cNvPr id="44" name="Straight Arrow Connector 43"/>
        <xdr:cNvCxnSpPr/>
      </xdr:nvCxnSpPr>
      <xdr:spPr>
        <a:xfrm rot="5400000">
          <a:off x="18811875" y="5048250"/>
          <a:ext cx="4048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13</xdr:row>
      <xdr:rowOff>76200</xdr:rowOff>
    </xdr:from>
    <xdr:to>
      <xdr:col>4</xdr:col>
      <xdr:colOff>485775</xdr:colOff>
      <xdr:row>14</xdr:row>
      <xdr:rowOff>104775</xdr:rowOff>
    </xdr:to>
    <xdr:cxnSp macro="">
      <xdr:nvCxnSpPr>
        <xdr:cNvPr id="3" name="Straight Arrow Connector 2"/>
        <xdr:cNvCxnSpPr/>
      </xdr:nvCxnSpPr>
      <xdr:spPr>
        <a:xfrm flipV="1">
          <a:off x="2495550" y="2638425"/>
          <a:ext cx="428625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304800</xdr:colOff>
      <xdr:row>15</xdr:row>
      <xdr:rowOff>28575</xdr:rowOff>
    </xdr:from>
    <xdr:to>
      <xdr:col>4</xdr:col>
      <xdr:colOff>438154</xdr:colOff>
      <xdr:row>27</xdr:row>
      <xdr:rowOff>104776</xdr:rowOff>
    </xdr:to>
    <xdr:cxnSp macro="">
      <xdr:nvCxnSpPr>
        <xdr:cNvPr id="5" name="Straight Arrow Connector 4"/>
        <xdr:cNvCxnSpPr/>
      </xdr:nvCxnSpPr>
      <xdr:spPr>
        <a:xfrm rot="5400000" flipH="1" flipV="1">
          <a:off x="1600201" y="4114799"/>
          <a:ext cx="2419351" cy="13335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304801</xdr:colOff>
      <xdr:row>26</xdr:row>
      <xdr:rowOff>47624</xdr:rowOff>
    </xdr:from>
    <xdr:to>
      <xdr:col>1</xdr:col>
      <xdr:colOff>323851</xdr:colOff>
      <xdr:row>27</xdr:row>
      <xdr:rowOff>152399</xdr:rowOff>
    </xdr:to>
    <xdr:cxnSp macro="">
      <xdr:nvCxnSpPr>
        <xdr:cNvPr id="7" name="Straight Arrow Connector 6"/>
        <xdr:cNvCxnSpPr/>
      </xdr:nvCxnSpPr>
      <xdr:spPr>
        <a:xfrm rot="16200000" flipH="1">
          <a:off x="776288" y="5300662"/>
          <a:ext cx="295275" cy="19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161927</xdr:colOff>
      <xdr:row>14</xdr:row>
      <xdr:rowOff>28575</xdr:rowOff>
    </xdr:from>
    <xdr:to>
      <xdr:col>7</xdr:col>
      <xdr:colOff>381002</xdr:colOff>
      <xdr:row>17</xdr:row>
      <xdr:rowOff>161925</xdr:rowOff>
    </xdr:to>
    <xdr:cxnSp macro="">
      <xdr:nvCxnSpPr>
        <xdr:cNvPr id="9" name="Straight Arrow Connector 8"/>
        <xdr:cNvCxnSpPr/>
      </xdr:nvCxnSpPr>
      <xdr:spPr>
        <a:xfrm rot="16200000" flipV="1">
          <a:off x="4386265" y="3024187"/>
          <a:ext cx="723900" cy="2190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495300</xdr:colOff>
      <xdr:row>37</xdr:row>
      <xdr:rowOff>47625</xdr:rowOff>
    </xdr:from>
    <xdr:to>
      <xdr:col>1</xdr:col>
      <xdr:colOff>533400</xdr:colOff>
      <xdr:row>40</xdr:row>
      <xdr:rowOff>142875</xdr:rowOff>
    </xdr:to>
    <xdr:cxnSp macro="">
      <xdr:nvCxnSpPr>
        <xdr:cNvPr id="11" name="Straight Arrow Connector 10"/>
        <xdr:cNvCxnSpPr/>
      </xdr:nvCxnSpPr>
      <xdr:spPr>
        <a:xfrm rot="5400000" flipH="1" flipV="1">
          <a:off x="781050" y="7639050"/>
          <a:ext cx="685800" cy="381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342900</xdr:colOff>
      <xdr:row>36</xdr:row>
      <xdr:rowOff>104775</xdr:rowOff>
    </xdr:from>
    <xdr:to>
      <xdr:col>6</xdr:col>
      <xdr:colOff>581025</xdr:colOff>
      <xdr:row>37</xdr:row>
      <xdr:rowOff>123825</xdr:rowOff>
    </xdr:to>
    <xdr:cxnSp macro="">
      <xdr:nvCxnSpPr>
        <xdr:cNvPr id="13" name="Straight Arrow Connector 12"/>
        <xdr:cNvCxnSpPr/>
      </xdr:nvCxnSpPr>
      <xdr:spPr>
        <a:xfrm flipV="1">
          <a:off x="4000500" y="7115175"/>
          <a:ext cx="238125" cy="2190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36</xdr:row>
      <xdr:rowOff>47625</xdr:rowOff>
    </xdr:from>
    <xdr:to>
      <xdr:col>6</xdr:col>
      <xdr:colOff>257175</xdr:colOff>
      <xdr:row>37</xdr:row>
      <xdr:rowOff>161925</xdr:rowOff>
    </xdr:to>
    <xdr:cxnSp macro="">
      <xdr:nvCxnSpPr>
        <xdr:cNvPr id="17" name="Straight Arrow Connector 16"/>
        <xdr:cNvCxnSpPr/>
      </xdr:nvCxnSpPr>
      <xdr:spPr>
        <a:xfrm flipV="1">
          <a:off x="3105150" y="7058025"/>
          <a:ext cx="809625" cy="3143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31</xdr:row>
      <xdr:rowOff>0</xdr:rowOff>
    </xdr:from>
    <xdr:to>
      <xdr:col>2</xdr:col>
      <xdr:colOff>581025</xdr:colOff>
      <xdr:row>31</xdr:row>
      <xdr:rowOff>19050</xdr:rowOff>
    </xdr:to>
    <xdr:cxnSp macro="">
      <xdr:nvCxnSpPr>
        <xdr:cNvPr id="3" name="Straight Arrow Connector 2"/>
        <xdr:cNvCxnSpPr/>
      </xdr:nvCxnSpPr>
      <xdr:spPr>
        <a:xfrm flipV="1">
          <a:off x="1295400" y="6067425"/>
          <a:ext cx="514350" cy="19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9526</xdr:colOff>
      <xdr:row>35</xdr:row>
      <xdr:rowOff>76200</xdr:rowOff>
    </xdr:from>
    <xdr:to>
      <xdr:col>4</xdr:col>
      <xdr:colOff>19051</xdr:colOff>
      <xdr:row>37</xdr:row>
      <xdr:rowOff>114300</xdr:rowOff>
    </xdr:to>
    <xdr:cxnSp macro="">
      <xdr:nvCxnSpPr>
        <xdr:cNvPr id="5" name="Straight Arrow Connector 4"/>
        <xdr:cNvCxnSpPr/>
      </xdr:nvCxnSpPr>
      <xdr:spPr>
        <a:xfrm rot="16200000" flipV="1">
          <a:off x="2857501" y="7153275"/>
          <a:ext cx="4286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24</xdr:row>
      <xdr:rowOff>85725</xdr:rowOff>
    </xdr:from>
    <xdr:to>
      <xdr:col>5</xdr:col>
      <xdr:colOff>247650</xdr:colOff>
      <xdr:row>27</xdr:row>
      <xdr:rowOff>85727</xdr:rowOff>
    </xdr:to>
    <xdr:cxnSp macro="">
      <xdr:nvCxnSpPr>
        <xdr:cNvPr id="7" name="Straight Arrow Connector 6"/>
        <xdr:cNvCxnSpPr/>
      </xdr:nvCxnSpPr>
      <xdr:spPr>
        <a:xfrm rot="5400000" flipH="1" flipV="1">
          <a:off x="2914649" y="4972051"/>
          <a:ext cx="590552" cy="1905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85726</xdr:colOff>
      <xdr:row>15</xdr:row>
      <xdr:rowOff>38100</xdr:rowOff>
    </xdr:from>
    <xdr:to>
      <xdr:col>5</xdr:col>
      <xdr:colOff>76201</xdr:colOff>
      <xdr:row>19</xdr:row>
      <xdr:rowOff>133350</xdr:rowOff>
    </xdr:to>
    <xdr:cxnSp macro="">
      <xdr:nvCxnSpPr>
        <xdr:cNvPr id="10" name="Straight Arrow Connector 9"/>
        <xdr:cNvCxnSpPr/>
      </xdr:nvCxnSpPr>
      <xdr:spPr>
        <a:xfrm rot="16200000" flipV="1">
          <a:off x="3719513" y="2986088"/>
          <a:ext cx="866775" cy="8001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</xdr:row>
      <xdr:rowOff>114300</xdr:rowOff>
    </xdr:from>
    <xdr:to>
      <xdr:col>8</xdr:col>
      <xdr:colOff>800100</xdr:colOff>
      <xdr:row>21</xdr:row>
      <xdr:rowOff>123826</xdr:rowOff>
    </xdr:to>
    <xdr:cxnSp macro="">
      <xdr:nvCxnSpPr>
        <xdr:cNvPr id="13" name="Straight Arrow Connector 12"/>
        <xdr:cNvCxnSpPr/>
      </xdr:nvCxnSpPr>
      <xdr:spPr>
        <a:xfrm>
          <a:off x="3771900" y="4200525"/>
          <a:ext cx="2257425" cy="95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85726</xdr:colOff>
      <xdr:row>33</xdr:row>
      <xdr:rowOff>85725</xdr:rowOff>
    </xdr:from>
    <xdr:to>
      <xdr:col>8</xdr:col>
      <xdr:colOff>647701</xdr:colOff>
      <xdr:row>33</xdr:row>
      <xdr:rowOff>87313</xdr:rowOff>
    </xdr:to>
    <xdr:cxnSp macro="">
      <xdr:nvCxnSpPr>
        <xdr:cNvPr id="15" name="Straight Arrow Connector 14"/>
        <xdr:cNvCxnSpPr/>
      </xdr:nvCxnSpPr>
      <xdr:spPr>
        <a:xfrm rot="10800000">
          <a:off x="3143251" y="6553200"/>
          <a:ext cx="27336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257175</xdr:colOff>
      <xdr:row>14</xdr:row>
      <xdr:rowOff>38100</xdr:rowOff>
    </xdr:from>
    <xdr:to>
      <xdr:col>11</xdr:col>
      <xdr:colOff>514350</xdr:colOff>
      <xdr:row>15</xdr:row>
      <xdr:rowOff>161925</xdr:rowOff>
    </xdr:to>
    <xdr:cxnSp macro="">
      <xdr:nvCxnSpPr>
        <xdr:cNvPr id="19" name="Straight Arrow Connector 18"/>
        <xdr:cNvCxnSpPr/>
      </xdr:nvCxnSpPr>
      <xdr:spPr>
        <a:xfrm rot="16200000" flipV="1">
          <a:off x="7758113" y="2805112"/>
          <a:ext cx="323850" cy="2571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19050</xdr:colOff>
      <xdr:row>13</xdr:row>
      <xdr:rowOff>66675</xdr:rowOff>
    </xdr:from>
    <xdr:to>
      <xdr:col>13</xdr:col>
      <xdr:colOff>533400</xdr:colOff>
      <xdr:row>15</xdr:row>
      <xdr:rowOff>152400</xdr:rowOff>
    </xdr:to>
    <xdr:cxnSp macro="">
      <xdr:nvCxnSpPr>
        <xdr:cNvPr id="21" name="Straight Arrow Connector 20"/>
        <xdr:cNvCxnSpPr/>
      </xdr:nvCxnSpPr>
      <xdr:spPr>
        <a:xfrm flipV="1">
          <a:off x="8934450" y="2600325"/>
          <a:ext cx="514350" cy="4857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161926</xdr:colOff>
      <xdr:row>35</xdr:row>
      <xdr:rowOff>76200</xdr:rowOff>
    </xdr:from>
    <xdr:to>
      <xdr:col>14</xdr:col>
      <xdr:colOff>171451</xdr:colOff>
      <xdr:row>37</xdr:row>
      <xdr:rowOff>104775</xdr:rowOff>
    </xdr:to>
    <xdr:cxnSp macro="">
      <xdr:nvCxnSpPr>
        <xdr:cNvPr id="23" name="Straight Arrow Connector 22"/>
        <xdr:cNvCxnSpPr/>
      </xdr:nvCxnSpPr>
      <xdr:spPr>
        <a:xfrm rot="16200000" flipV="1">
          <a:off x="9210676" y="7191375"/>
          <a:ext cx="40957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95250</xdr:colOff>
      <xdr:row>25</xdr:row>
      <xdr:rowOff>19050</xdr:rowOff>
    </xdr:from>
    <xdr:to>
      <xdr:col>12</xdr:col>
      <xdr:colOff>628650</xdr:colOff>
      <xdr:row>25</xdr:row>
      <xdr:rowOff>38101</xdr:rowOff>
    </xdr:to>
    <xdr:cxnSp macro="">
      <xdr:nvCxnSpPr>
        <xdr:cNvPr id="25" name="Straight Arrow Connector 24"/>
        <xdr:cNvCxnSpPr/>
      </xdr:nvCxnSpPr>
      <xdr:spPr>
        <a:xfrm flipV="1">
          <a:off x="8248650" y="4943475"/>
          <a:ext cx="533400" cy="1905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133350</xdr:colOff>
      <xdr:row>18</xdr:row>
      <xdr:rowOff>190501</xdr:rowOff>
    </xdr:from>
    <xdr:to>
      <xdr:col>15</xdr:col>
      <xdr:colOff>704850</xdr:colOff>
      <xdr:row>21</xdr:row>
      <xdr:rowOff>180975</xdr:rowOff>
    </xdr:to>
    <xdr:cxnSp macro="">
      <xdr:nvCxnSpPr>
        <xdr:cNvPr id="28" name="Straight Arrow Connector 27"/>
        <xdr:cNvCxnSpPr/>
      </xdr:nvCxnSpPr>
      <xdr:spPr>
        <a:xfrm>
          <a:off x="8934450" y="3724276"/>
          <a:ext cx="1695450" cy="5905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276226</xdr:colOff>
      <xdr:row>19</xdr:row>
      <xdr:rowOff>28575</xdr:rowOff>
    </xdr:from>
    <xdr:to>
      <xdr:col>13</xdr:col>
      <xdr:colOff>95251</xdr:colOff>
      <xdr:row>22</xdr:row>
      <xdr:rowOff>123825</xdr:rowOff>
    </xdr:to>
    <xdr:cxnSp macro="">
      <xdr:nvCxnSpPr>
        <xdr:cNvPr id="32" name="Straight Arrow Connector 31"/>
        <xdr:cNvCxnSpPr/>
      </xdr:nvCxnSpPr>
      <xdr:spPr>
        <a:xfrm rot="16200000" flipV="1">
          <a:off x="8315326" y="3876675"/>
          <a:ext cx="695325" cy="4667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engineeringtoolbox.com/spesific-heat-capacity-gases-d_159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80"/>
  <sheetViews>
    <sheetView zoomScale="80" zoomScaleNormal="80" workbookViewId="0">
      <selection activeCell="W17" sqref="V17:W17"/>
    </sheetView>
  </sheetViews>
  <sheetFormatPr defaultRowHeight="15"/>
  <cols>
    <col min="1" max="1" width="15" customWidth="1"/>
    <col min="2" max="2" width="11" customWidth="1"/>
    <col min="3" max="3" width="10.42578125" customWidth="1"/>
    <col min="4" max="4" width="12" customWidth="1"/>
    <col min="5" max="6" width="9.28515625" bestFit="1" customWidth="1"/>
    <col min="7" max="8" width="11" bestFit="1" customWidth="1"/>
    <col min="9" max="9" width="9.42578125" bestFit="1" customWidth="1"/>
    <col min="10" max="10" width="12.140625" customWidth="1"/>
    <col min="11" max="11" width="10.140625" bestFit="1" customWidth="1"/>
    <col min="12" max="12" width="9.28515625" bestFit="1" customWidth="1"/>
    <col min="13" max="13" width="10.140625" bestFit="1" customWidth="1"/>
    <col min="14" max="14" width="9.42578125" bestFit="1" customWidth="1"/>
    <col min="15" max="15" width="9.28515625" bestFit="1" customWidth="1"/>
    <col min="16" max="16" width="11" bestFit="1" customWidth="1"/>
    <col min="17" max="17" width="10.42578125" customWidth="1"/>
    <col min="18" max="18" width="9.28515625" bestFit="1" customWidth="1"/>
    <col min="19" max="19" width="11" bestFit="1" customWidth="1"/>
    <col min="20" max="20" width="12.28515625" bestFit="1" customWidth="1"/>
    <col min="21" max="21" width="14" customWidth="1"/>
    <col min="22" max="22" width="12" bestFit="1" customWidth="1"/>
    <col min="24" max="24" width="9.28515625" bestFit="1" customWidth="1"/>
    <col min="25" max="25" width="12" bestFit="1" customWidth="1"/>
    <col min="26" max="26" width="10" bestFit="1" customWidth="1"/>
    <col min="27" max="27" width="12" bestFit="1" customWidth="1"/>
    <col min="36" max="36" width="9.28515625" bestFit="1" customWidth="1"/>
  </cols>
  <sheetData>
    <row r="1" spans="1:41">
      <c r="A1" s="108" t="s">
        <v>233</v>
      </c>
      <c r="I1" s="108" t="s">
        <v>233</v>
      </c>
      <c r="Q1" s="108" t="s">
        <v>233</v>
      </c>
      <c r="Y1" s="108" t="s">
        <v>233</v>
      </c>
      <c r="AH1" s="108" t="s">
        <v>233</v>
      </c>
    </row>
    <row r="2" spans="1:41">
      <c r="A2" s="108" t="s">
        <v>234</v>
      </c>
      <c r="I2" s="108" t="s">
        <v>234</v>
      </c>
      <c r="Q2" s="108" t="s">
        <v>234</v>
      </c>
      <c r="Y2" s="108" t="s">
        <v>234</v>
      </c>
      <c r="AH2" s="108" t="s">
        <v>234</v>
      </c>
    </row>
    <row r="3" spans="1:41">
      <c r="A3" s="108" t="s">
        <v>235</v>
      </c>
      <c r="B3" s="43" t="s">
        <v>55</v>
      </c>
      <c r="I3" s="108" t="s">
        <v>235</v>
      </c>
      <c r="J3" s="43" t="s">
        <v>55</v>
      </c>
      <c r="Q3" s="108" t="s">
        <v>235</v>
      </c>
      <c r="R3" s="43" t="s">
        <v>55</v>
      </c>
      <c r="Y3" s="108" t="s">
        <v>235</v>
      </c>
      <c r="Z3" s="43" t="s">
        <v>55</v>
      </c>
      <c r="AH3" s="108" t="s">
        <v>235</v>
      </c>
      <c r="AI3" s="43" t="s">
        <v>55</v>
      </c>
    </row>
    <row r="4" spans="1:41">
      <c r="B4" s="15" t="s">
        <v>56</v>
      </c>
      <c r="J4" s="15" t="s">
        <v>56</v>
      </c>
      <c r="R4" s="15" t="s">
        <v>56</v>
      </c>
      <c r="Z4" s="15" t="s">
        <v>56</v>
      </c>
      <c r="AI4" s="15" t="s">
        <v>56</v>
      </c>
    </row>
    <row r="5" spans="1:41">
      <c r="B5" s="42" t="s">
        <v>236</v>
      </c>
      <c r="J5" s="42" t="s">
        <v>236</v>
      </c>
      <c r="R5" s="42" t="s">
        <v>236</v>
      </c>
      <c r="Z5" s="42" t="s">
        <v>236</v>
      </c>
      <c r="AI5" s="42" t="s">
        <v>236</v>
      </c>
    </row>
    <row r="6" spans="1:41">
      <c r="A6" s="321" t="s">
        <v>239</v>
      </c>
      <c r="B6" s="322"/>
      <c r="C6" s="322"/>
      <c r="D6" s="322"/>
      <c r="E6" s="322"/>
      <c r="F6" s="322"/>
      <c r="G6" s="322"/>
      <c r="H6" s="322"/>
      <c r="I6" s="323" t="s">
        <v>239</v>
      </c>
      <c r="J6" s="322"/>
      <c r="K6" s="322"/>
      <c r="L6" s="322"/>
      <c r="M6" s="322"/>
      <c r="N6" s="322"/>
      <c r="O6" s="322"/>
      <c r="P6" s="322"/>
      <c r="Q6" s="323" t="s">
        <v>249</v>
      </c>
      <c r="R6" s="322"/>
      <c r="S6" s="322"/>
      <c r="T6" s="322"/>
      <c r="U6" s="322"/>
      <c r="V6" s="322"/>
      <c r="W6" s="322"/>
      <c r="X6" s="313"/>
      <c r="Y6" s="323" t="s">
        <v>250</v>
      </c>
      <c r="Z6" s="322"/>
      <c r="AA6" s="322"/>
      <c r="AB6" s="322"/>
      <c r="AC6" s="322"/>
      <c r="AD6" s="322"/>
      <c r="AE6" s="322"/>
      <c r="AF6" s="313"/>
      <c r="AH6" s="323" t="s">
        <v>253</v>
      </c>
      <c r="AI6" s="322"/>
      <c r="AJ6" s="322"/>
      <c r="AK6" s="322"/>
      <c r="AL6" s="322"/>
      <c r="AM6" s="322"/>
      <c r="AN6" s="322"/>
      <c r="AO6" s="313"/>
    </row>
    <row r="7" spans="1:41" ht="15.75" thickBot="1"/>
    <row r="8" spans="1:41">
      <c r="Q8" s="11" t="s">
        <v>241</v>
      </c>
      <c r="R8" s="12"/>
      <c r="Y8" s="11" t="s">
        <v>241</v>
      </c>
      <c r="Z8" s="12"/>
      <c r="AB8" s="11" t="s">
        <v>58</v>
      </c>
      <c r="AC8" s="72"/>
      <c r="AD8" s="169"/>
      <c r="AE8" s="17"/>
      <c r="AF8" s="71" t="s">
        <v>19</v>
      </c>
      <c r="AI8" s="108" t="s">
        <v>111</v>
      </c>
      <c r="AJ8" s="11" t="s">
        <v>107</v>
      </c>
      <c r="AK8" s="72"/>
      <c r="AL8" s="72"/>
      <c r="AM8" s="4"/>
    </row>
    <row r="9" spans="1:41" ht="15.75" thickBot="1">
      <c r="Q9" s="111" t="s">
        <v>242</v>
      </c>
      <c r="R9" s="278"/>
      <c r="Y9" s="111" t="s">
        <v>242</v>
      </c>
      <c r="Z9" s="278"/>
      <c r="AB9" s="5"/>
      <c r="AC9" s="6" t="s">
        <v>21</v>
      </c>
      <c r="AD9" s="6"/>
      <c r="AE9" s="7"/>
      <c r="AF9" s="207"/>
      <c r="AJ9" s="5"/>
      <c r="AK9" s="90" t="s">
        <v>21</v>
      </c>
      <c r="AL9" s="6"/>
      <c r="AM9" s="7"/>
    </row>
    <row r="10" spans="1:41" ht="15.75" thickBot="1">
      <c r="A10" s="44" t="s">
        <v>0</v>
      </c>
      <c r="B10" s="66" t="s">
        <v>68</v>
      </c>
      <c r="D10" s="1" t="s">
        <v>69</v>
      </c>
      <c r="E10" s="67" t="s">
        <v>69</v>
      </c>
      <c r="F10" s="16" t="s">
        <v>20</v>
      </c>
      <c r="G10" s="17"/>
      <c r="H10" s="36"/>
      <c r="L10" s="11" t="s">
        <v>34</v>
      </c>
      <c r="M10" s="3" t="s">
        <v>21</v>
      </c>
      <c r="N10" s="4"/>
      <c r="O10" s="4"/>
      <c r="P10" s="157" t="s">
        <v>19</v>
      </c>
      <c r="T10" s="11" t="s">
        <v>46</v>
      </c>
      <c r="U10" s="3" t="s">
        <v>21</v>
      </c>
      <c r="V10" s="4"/>
      <c r="W10" s="72"/>
      <c r="X10" s="328" t="s">
        <v>19</v>
      </c>
      <c r="AB10" s="5"/>
      <c r="AC10" s="6" t="s">
        <v>17</v>
      </c>
      <c r="AD10" s="6" t="s">
        <v>18</v>
      </c>
      <c r="AE10" s="7" t="s">
        <v>16</v>
      </c>
      <c r="AF10" s="207"/>
      <c r="AJ10" s="5"/>
      <c r="AK10" s="6" t="s">
        <v>13</v>
      </c>
      <c r="AL10" s="6" t="s">
        <v>14</v>
      </c>
      <c r="AM10" s="65" t="s">
        <v>16</v>
      </c>
    </row>
    <row r="11" spans="1:41" ht="15.75" thickBot="1">
      <c r="A11" s="45" t="s">
        <v>1</v>
      </c>
      <c r="B11" s="47">
        <v>10</v>
      </c>
      <c r="D11" s="178" t="s">
        <v>1</v>
      </c>
      <c r="E11" s="18"/>
      <c r="F11" s="19" t="s">
        <v>17</v>
      </c>
      <c r="G11" s="20" t="s">
        <v>18</v>
      </c>
      <c r="H11" s="180" t="s">
        <v>16</v>
      </c>
      <c r="L11" s="5"/>
      <c r="M11" s="6" t="s">
        <v>17</v>
      </c>
      <c r="N11" s="7" t="s">
        <v>18</v>
      </c>
      <c r="O11" s="65" t="s">
        <v>16</v>
      </c>
      <c r="P11" s="154" t="s">
        <v>16</v>
      </c>
      <c r="Q11" s="38" t="s">
        <v>44</v>
      </c>
      <c r="R11" s="39"/>
      <c r="T11" s="5"/>
      <c r="U11" s="12" t="s">
        <v>17</v>
      </c>
      <c r="V11" s="12" t="s">
        <v>18</v>
      </c>
      <c r="W11" s="90" t="s">
        <v>16</v>
      </c>
      <c r="X11" s="205" t="s">
        <v>16</v>
      </c>
      <c r="AB11" s="5" t="s">
        <v>59</v>
      </c>
      <c r="AC11" s="19">
        <f>M16*0.9*0.917</f>
        <v>0</v>
      </c>
      <c r="AD11" s="24">
        <f>N16*0.9*0.917</f>
        <v>15785.160275049118</v>
      </c>
      <c r="AE11" s="20">
        <f t="shared" ref="AE11:AE16" si="0">AD11+AC11</f>
        <v>15785.160275049118</v>
      </c>
      <c r="AF11" s="162">
        <f>AE11*(F30*2+F33)</f>
        <v>538005.61765449913</v>
      </c>
      <c r="AJ11" s="5" t="s">
        <v>7</v>
      </c>
      <c r="AK11" s="118">
        <f>M12</f>
        <v>63401451.265611984</v>
      </c>
      <c r="AL11" s="22">
        <f>N12</f>
        <v>61179974.721065775</v>
      </c>
      <c r="AM11" s="23">
        <f>AL11+AK11</f>
        <v>124581425.98667777</v>
      </c>
    </row>
    <row r="12" spans="1:41" ht="15.75" thickBot="1">
      <c r="A12" s="46">
        <v>133333</v>
      </c>
      <c r="B12" s="308" t="s">
        <v>237</v>
      </c>
      <c r="C12" s="63"/>
      <c r="D12" s="162">
        <f>A12*A17</f>
        <v>1533329.5</v>
      </c>
      <c r="E12" s="21" t="s">
        <v>7</v>
      </c>
      <c r="F12" s="22">
        <f>F$18*B26</f>
        <v>761451429.69999993</v>
      </c>
      <c r="G12" s="23">
        <f>G$18*C26</f>
        <v>734771496.39999998</v>
      </c>
      <c r="H12" s="68">
        <f>G12+F12</f>
        <v>1496222926.0999999</v>
      </c>
      <c r="L12" s="8" t="s">
        <v>7</v>
      </c>
      <c r="M12" s="22">
        <f>F12/$F$29</f>
        <v>63401451.265611984</v>
      </c>
      <c r="N12" s="23">
        <f>G12/$F$29</f>
        <v>61179974.721065775</v>
      </c>
      <c r="O12" s="23">
        <f>N12+M12</f>
        <v>124581425.98667777</v>
      </c>
      <c r="P12" s="163">
        <f>O12*F29</f>
        <v>1496222926.0999999</v>
      </c>
      <c r="Q12" s="52">
        <v>60</v>
      </c>
      <c r="R12" s="54" t="s">
        <v>45</v>
      </c>
      <c r="S12" s="63"/>
      <c r="T12" s="5" t="s">
        <v>36</v>
      </c>
      <c r="U12" s="32">
        <f>M$12*R17/($R$17+$R$18+$R$20+$R$21*2+$R$22*2)*Q12/100</f>
        <v>5538169.7286906885</v>
      </c>
      <c r="V12" s="32">
        <f>N$12*R17/($R$17+$R$18+$R$20+$R$21*2+$R$22*2)*Q12/100</f>
        <v>5344121.8968759123</v>
      </c>
      <c r="W12" s="119">
        <f t="shared" ref="W12:W17" si="1">V12+U12</f>
        <v>10882291.625566602</v>
      </c>
      <c r="X12" s="68">
        <f>W12*(F29+F31*2)</f>
        <v>478929654.44118613</v>
      </c>
      <c r="AB12" s="5" t="s">
        <v>63</v>
      </c>
      <c r="AC12" s="19">
        <f>M16*0.1*0.917</f>
        <v>0</v>
      </c>
      <c r="AD12" s="24">
        <f>N16*0.1*0.917</f>
        <v>1753.9066972276796</v>
      </c>
      <c r="AE12" s="20">
        <f t="shared" si="0"/>
        <v>1753.9066972276796</v>
      </c>
      <c r="AF12" s="162">
        <f>AE12*F29+F31+F33</f>
        <v>21112.486433704431</v>
      </c>
      <c r="AJ12" s="5" t="s">
        <v>8</v>
      </c>
      <c r="AK12" s="330">
        <f>M13+M30*2+K41*2</f>
        <v>184963355.76031184</v>
      </c>
      <c r="AL12" s="24">
        <f>N13+N30*2+L41*2</f>
        <v>184507007.69483566</v>
      </c>
      <c r="AM12" s="20">
        <f>AL12+AK12</f>
        <v>369470363.4551475</v>
      </c>
    </row>
    <row r="13" spans="1:41" ht="15.75" thickBot="1">
      <c r="A13" s="47" t="s">
        <v>67</v>
      </c>
      <c r="D13" s="69" t="s">
        <v>4</v>
      </c>
      <c r="E13" s="18" t="s">
        <v>8</v>
      </c>
      <c r="F13" s="24">
        <f>F$18*B27</f>
        <v>98746419.799999997</v>
      </c>
      <c r="G13" s="20">
        <f>G$18*C27</f>
        <v>98286420.950000003</v>
      </c>
      <c r="H13" s="18">
        <f>G13+F13</f>
        <v>197032840.75</v>
      </c>
      <c r="I13" s="314" t="s">
        <v>240</v>
      </c>
      <c r="J13" s="89"/>
      <c r="L13" s="5" t="s">
        <v>8</v>
      </c>
      <c r="M13" s="24">
        <f>F13/$F$30</f>
        <v>97962718.055555552</v>
      </c>
      <c r="N13" s="20">
        <f>G13/$F$30</f>
        <v>97506369.990079373</v>
      </c>
      <c r="O13" s="20">
        <f t="shared" ref="O13:O28" si="2">N13+M13</f>
        <v>195469088.04563493</v>
      </c>
      <c r="P13" s="164">
        <f>O13*F30</f>
        <v>197032840.75</v>
      </c>
      <c r="Q13" s="123" t="s">
        <v>86</v>
      </c>
      <c r="R13" s="124"/>
      <c r="T13" s="5" t="s">
        <v>37</v>
      </c>
      <c r="U13" s="33">
        <f>U12/$R17*$R18</f>
        <v>20155306.225726768</v>
      </c>
      <c r="V13" s="33">
        <f>V12/$R17*$R18</f>
        <v>19449099.36240086</v>
      </c>
      <c r="W13" s="19">
        <f t="shared" si="1"/>
        <v>39604405.588127628</v>
      </c>
      <c r="X13" s="162">
        <f>W13*(F29+F31)</f>
        <v>1109319400.5234547</v>
      </c>
      <c r="AB13" s="5" t="s">
        <v>60</v>
      </c>
      <c r="AC13" s="19">
        <f>M15*0.25*0.934</f>
        <v>20448.772085385885</v>
      </c>
      <c r="AD13" s="24">
        <f>N15*0.25*0.934</f>
        <v>347629.12545155996</v>
      </c>
      <c r="AE13" s="20">
        <f t="shared" si="0"/>
        <v>368077.89753694582</v>
      </c>
      <c r="AF13" s="162">
        <f>AE13*(F32+F30*3)</f>
        <v>6268734.6729517234</v>
      </c>
      <c r="AJ13" s="5" t="s">
        <v>9</v>
      </c>
      <c r="AK13" s="330">
        <f>M14+M30+K41</f>
        <v>78028982.530503154</v>
      </c>
      <c r="AL13" s="24">
        <f>N14+N30+L41</f>
        <v>78469814.761753142</v>
      </c>
      <c r="AM13" s="20">
        <f>AL13+AK13</f>
        <v>156498797.2922563</v>
      </c>
    </row>
    <row r="14" spans="1:41">
      <c r="D14" s="68">
        <f>D12*2000</f>
        <v>3066659000</v>
      </c>
      <c r="E14" s="18" t="s">
        <v>9</v>
      </c>
      <c r="F14" s="24">
        <f>F$18*B28</f>
        <v>552458618.85000002</v>
      </c>
      <c r="G14" s="20">
        <f>G$18*C28</f>
        <v>559511934.54999995</v>
      </c>
      <c r="H14" s="162">
        <f>G14+F14</f>
        <v>1111970553.4000001</v>
      </c>
      <c r="L14" s="5" t="s">
        <v>9</v>
      </c>
      <c r="M14" s="24">
        <f>F14/$F$31</f>
        <v>34528663.678125001</v>
      </c>
      <c r="N14" s="20">
        <f>G14/$F$31</f>
        <v>34969495.909374997</v>
      </c>
      <c r="O14" s="20">
        <f t="shared" si="2"/>
        <v>69498159.587500006</v>
      </c>
      <c r="P14" s="164">
        <f>O14*F31</f>
        <v>1111970553.4000001</v>
      </c>
      <c r="T14" s="5" t="s">
        <v>38</v>
      </c>
      <c r="U14" s="33">
        <f>U12/$R17*$R19</f>
        <v>9986863.44517993</v>
      </c>
      <c r="V14" s="33">
        <f>V12/$R17*$R19</f>
        <v>9636941.125513941</v>
      </c>
      <c r="W14" s="19">
        <f t="shared" si="1"/>
        <v>19623804.570693873</v>
      </c>
      <c r="X14" s="162">
        <f>W14*F30*2</f>
        <v>39561590.01451885</v>
      </c>
      <c r="AB14" s="5" t="s">
        <v>64</v>
      </c>
      <c r="AC14" s="19">
        <f>M15*0.1*0.934</f>
        <v>8179.5088341543542</v>
      </c>
      <c r="AD14" s="24">
        <f>N15*0.1*0.934</f>
        <v>139051.65018062398</v>
      </c>
      <c r="AE14" s="20">
        <f t="shared" si="0"/>
        <v>147231.15901477833</v>
      </c>
      <c r="AF14" s="162">
        <f>AE14*(F30+F29+F32)</f>
        <v>3978922.0723743839</v>
      </c>
      <c r="AJ14" s="5" t="s">
        <v>10</v>
      </c>
      <c r="AK14" s="330">
        <f>M15</f>
        <v>87575.041050903135</v>
      </c>
      <c r="AL14" s="24">
        <f>N15</f>
        <v>1488775.697865353</v>
      </c>
      <c r="AM14" s="20">
        <f>AL14+AK14</f>
        <v>1576350.738916256</v>
      </c>
    </row>
    <row r="15" spans="1:41" ht="15.75" thickBot="1">
      <c r="D15" s="70" t="s">
        <v>19</v>
      </c>
      <c r="E15" s="18" t="s">
        <v>10</v>
      </c>
      <c r="F15" s="24">
        <f>F$18*B29</f>
        <v>1226663.6000000001</v>
      </c>
      <c r="G15" s="20">
        <f>G$18*C29</f>
        <v>20853281.199999999</v>
      </c>
      <c r="H15" s="162">
        <f>G15+F15</f>
        <v>22079944.800000001</v>
      </c>
      <c r="L15" s="5" t="s">
        <v>10</v>
      </c>
      <c r="M15" s="24">
        <f>F15/$F$32</f>
        <v>87575.041050903135</v>
      </c>
      <c r="N15" s="20">
        <f>G15/$F$32</f>
        <v>1488775.697865353</v>
      </c>
      <c r="O15" s="20">
        <f t="shared" si="2"/>
        <v>1576350.738916256</v>
      </c>
      <c r="P15" s="164">
        <f>O15*F32</f>
        <v>22079944.799999997</v>
      </c>
      <c r="Q15" s="50" t="s">
        <v>35</v>
      </c>
      <c r="R15" s="39"/>
      <c r="T15" s="5" t="s">
        <v>39</v>
      </c>
      <c r="U15" s="33">
        <f>U12/$R17*$R20</f>
        <v>7081594.0793094058</v>
      </c>
      <c r="V15" s="33">
        <f>V12/$R17*$R20</f>
        <v>6833467.343546248</v>
      </c>
      <c r="W15" s="19">
        <f t="shared" si="1"/>
        <v>13915061.422855653</v>
      </c>
      <c r="X15" s="162">
        <f>W15*(F29+F30*4)</f>
        <v>223225415.3454504</v>
      </c>
      <c r="AB15" s="5" t="s">
        <v>65</v>
      </c>
      <c r="AC15" s="19">
        <f>M15*0.65/2*0.934</f>
        <v>26583.403711001647</v>
      </c>
      <c r="AD15" s="24">
        <f>N15*0.65/2*0.934</f>
        <v>451917.86308702797</v>
      </c>
      <c r="AE15" s="20">
        <f t="shared" si="0"/>
        <v>478501.2667980296</v>
      </c>
      <c r="AF15" s="162">
        <f>AE15*(F32*2)</f>
        <v>13404734.488080001</v>
      </c>
      <c r="AJ15" s="10" t="s">
        <v>11</v>
      </c>
      <c r="AK15" s="331">
        <f>M16</f>
        <v>0</v>
      </c>
      <c r="AL15" s="30">
        <f>N16</f>
        <v>19126.572488851467</v>
      </c>
      <c r="AM15" s="29">
        <f>AL15+AK15</f>
        <v>19126.572488851467</v>
      </c>
    </row>
    <row r="16" spans="1:41" ht="15.75" thickBot="1">
      <c r="A16" s="48" t="s">
        <v>2</v>
      </c>
      <c r="D16" s="71">
        <f>D14/8000</f>
        <v>383332.375</v>
      </c>
      <c r="E16" s="18" t="s">
        <v>11</v>
      </c>
      <c r="F16" s="24">
        <f>F$18*B30</f>
        <v>0</v>
      </c>
      <c r="G16" s="20">
        <f>G$18*C30</f>
        <v>613331.80000000005</v>
      </c>
      <c r="H16" s="162">
        <f>G16+F16</f>
        <v>613331.80000000005</v>
      </c>
      <c r="L16" s="10" t="s">
        <v>11</v>
      </c>
      <c r="M16" s="30">
        <f>F16/$F$33</f>
        <v>0</v>
      </c>
      <c r="N16" s="29">
        <f>G16/$F$33</f>
        <v>19126.572488851467</v>
      </c>
      <c r="O16" s="20">
        <f t="shared" si="2"/>
        <v>19126.572488851467</v>
      </c>
      <c r="P16" s="161">
        <f>O16*F33</f>
        <v>613331.80000000005</v>
      </c>
      <c r="Q16" s="52"/>
      <c r="R16" s="54" t="s">
        <v>51</v>
      </c>
      <c r="T16" s="5" t="s">
        <v>40</v>
      </c>
      <c r="U16" s="33">
        <f>U12/$R17*$R21</f>
        <v>2315136.5259280745</v>
      </c>
      <c r="V16" s="33">
        <f>V12/$R17*$R21</f>
        <v>2234018.170005504</v>
      </c>
      <c r="W16" s="19">
        <f t="shared" si="1"/>
        <v>4549154.6959335785</v>
      </c>
      <c r="X16" s="162">
        <f>W16*(F29*2+F30*4)</f>
        <v>127612887.53032875</v>
      </c>
      <c r="AB16" s="5" t="s">
        <v>61</v>
      </c>
      <c r="AC16" s="19">
        <f>M19/$F$34</f>
        <v>16824.110103517331</v>
      </c>
      <c r="AD16" s="24">
        <f>N19/$F$34</f>
        <v>16824.110103517331</v>
      </c>
      <c r="AE16" s="20">
        <f t="shared" si="0"/>
        <v>33648.220207034661</v>
      </c>
      <c r="AF16" s="162">
        <f>AE16*(F34+F30)</f>
        <v>1226847.756968691</v>
      </c>
    </row>
    <row r="17" spans="1:39" ht="15.75" thickBot="1">
      <c r="A17" s="49">
        <v>11.5</v>
      </c>
      <c r="D17" s="2" t="s">
        <v>54</v>
      </c>
      <c r="E17" s="25" t="s">
        <v>12</v>
      </c>
      <c r="F17" s="26">
        <f>F$18*B31</f>
        <v>119293035.09999999</v>
      </c>
      <c r="G17" s="27">
        <f>G$18*C31</f>
        <v>119293035.09999999</v>
      </c>
      <c r="H17" s="69">
        <f>G17+F17</f>
        <v>238586070.19999999</v>
      </c>
      <c r="L17" s="11" t="s">
        <v>12</v>
      </c>
      <c r="M17" s="31" t="s">
        <v>19</v>
      </c>
      <c r="N17" s="17"/>
      <c r="O17" s="17"/>
      <c r="P17" s="155"/>
      <c r="Q17" s="52" t="s">
        <v>36</v>
      </c>
      <c r="R17" s="54">
        <v>12.2</v>
      </c>
      <c r="T17" s="9" t="s">
        <v>41</v>
      </c>
      <c r="U17" s="34">
        <f>U12/$R17*$R22</f>
        <v>317763.8368920887</v>
      </c>
      <c r="V17" s="34">
        <f>V12/$R17*$R22</f>
        <v>306629.94490271626</v>
      </c>
      <c r="W17" s="121">
        <f t="shared" si="1"/>
        <v>624393.78179480496</v>
      </c>
      <c r="X17" s="69">
        <f>W17*(F29*2+F30*6)</f>
        <v>18774272.231006194</v>
      </c>
      <c r="AB17" s="10" t="s">
        <v>72</v>
      </c>
      <c r="AC17" s="76">
        <f>SUM(AC11:AC16)</f>
        <v>72035.794734059222</v>
      </c>
      <c r="AD17" s="30">
        <f>SUM(AD11:AD16)</f>
        <v>972961.815795006</v>
      </c>
      <c r="AE17" s="29">
        <f>SUM(AE11:AE16)</f>
        <v>1044997.6105290651</v>
      </c>
      <c r="AF17" s="70">
        <f>SUM(AF11:AF16)</f>
        <v>25438357.094463006</v>
      </c>
      <c r="AI17" s="108" t="s">
        <v>112</v>
      </c>
      <c r="AJ17" s="11" t="s">
        <v>106</v>
      </c>
      <c r="AK17" s="72"/>
      <c r="AL17" s="72"/>
      <c r="AM17" s="4"/>
    </row>
    <row r="18" spans="1:39" ht="15.75" thickBot="1">
      <c r="A18" s="49" t="s">
        <v>5</v>
      </c>
      <c r="D18" s="310" t="s">
        <v>238</v>
      </c>
      <c r="E18" s="28" t="s">
        <v>16</v>
      </c>
      <c r="F18" s="26">
        <f>D14*0.5</f>
        <v>1533329500</v>
      </c>
      <c r="G18" s="29">
        <f>D14*0.5</f>
        <v>1533329500</v>
      </c>
      <c r="H18" s="70">
        <f>G18+F18</f>
        <v>3066659000</v>
      </c>
      <c r="L18" s="5"/>
      <c r="M18" s="24" t="s">
        <v>17</v>
      </c>
      <c r="N18" s="20" t="s">
        <v>18</v>
      </c>
      <c r="O18" s="20"/>
      <c r="P18" s="140"/>
      <c r="Q18" s="52" t="s">
        <v>37</v>
      </c>
      <c r="R18" s="54">
        <v>44.4</v>
      </c>
      <c r="T18" s="10" t="s">
        <v>16</v>
      </c>
      <c r="U18" s="29">
        <f>SUM(U12:U17)</f>
        <v>45394833.841726951</v>
      </c>
      <c r="V18" s="76">
        <f>SUM(V12:V17)</f>
        <v>43804277.843245178</v>
      </c>
      <c r="W18" s="76">
        <f>SUM(W12:W17)</f>
        <v>89199111.684972122</v>
      </c>
      <c r="X18" s="329">
        <f>SUM(X12:X17)</f>
        <v>1997423220.0859449</v>
      </c>
      <c r="AJ18" s="5"/>
      <c r="AK18" s="90" t="s">
        <v>21</v>
      </c>
      <c r="AL18" s="6"/>
      <c r="AM18" s="7"/>
    </row>
    <row r="19" spans="1:39" ht="15.75" thickBot="1">
      <c r="A19" s="49" t="s">
        <v>3</v>
      </c>
      <c r="D19" s="64"/>
      <c r="E19" s="37" t="s">
        <v>52</v>
      </c>
      <c r="F19" s="188"/>
      <c r="G19" s="188"/>
      <c r="H19" s="309"/>
      <c r="L19" s="5" t="s">
        <v>24</v>
      </c>
      <c r="M19" s="24">
        <f>$J24*F$17</f>
        <v>596465.17550000001</v>
      </c>
      <c r="N19" s="20">
        <f>$J24*G$17</f>
        <v>596465.17550000001</v>
      </c>
      <c r="O19" s="20">
        <f t="shared" si="2"/>
        <v>1192930.351</v>
      </c>
      <c r="P19" s="140">
        <f t="shared" ref="P19:P28" si="3">O19</f>
        <v>1192930.351</v>
      </c>
      <c r="Q19" s="52" t="s">
        <v>38</v>
      </c>
      <c r="R19" s="54">
        <v>22</v>
      </c>
      <c r="T19" s="81" t="s">
        <v>87</v>
      </c>
      <c r="U19" s="80"/>
      <c r="AA19" s="127" t="s">
        <v>88</v>
      </c>
      <c r="AB19" s="129"/>
      <c r="AC19" s="81" t="s">
        <v>90</v>
      </c>
      <c r="AD19" s="130"/>
      <c r="AE19" s="132"/>
      <c r="AF19" s="132"/>
      <c r="AG19" s="133"/>
      <c r="AJ19" s="5"/>
      <c r="AK19" s="6" t="s">
        <v>13</v>
      </c>
      <c r="AL19" s="6" t="s">
        <v>14</v>
      </c>
      <c r="AM19" s="65" t="s">
        <v>16</v>
      </c>
    </row>
    <row r="20" spans="1:39" ht="15.75" thickBot="1">
      <c r="A20" s="311" t="s">
        <v>118</v>
      </c>
      <c r="E20" s="11" t="s">
        <v>70</v>
      </c>
      <c r="F20" s="72"/>
      <c r="G20" s="72"/>
      <c r="H20" s="71"/>
      <c r="L20" s="5" t="s">
        <v>25</v>
      </c>
      <c r="M20" s="24">
        <f>$J25*F$17</f>
        <v>67794231.847330004</v>
      </c>
      <c r="N20" s="20">
        <f>$J25*G$17</f>
        <v>67794231.847330004</v>
      </c>
      <c r="O20" s="20">
        <f t="shared" si="2"/>
        <v>135588463.69466001</v>
      </c>
      <c r="P20" s="140">
        <f t="shared" si="3"/>
        <v>135588463.69466001</v>
      </c>
      <c r="Q20" s="52" t="s">
        <v>39</v>
      </c>
      <c r="R20" s="54">
        <v>15.6</v>
      </c>
      <c r="AA20" s="324" t="s">
        <v>92</v>
      </c>
      <c r="AB20" s="61"/>
      <c r="AC20" s="62"/>
      <c r="AD20" s="59"/>
      <c r="AE20" s="59"/>
      <c r="AF20" s="59"/>
      <c r="AG20" s="60"/>
      <c r="AJ20" s="5" t="s">
        <v>7</v>
      </c>
      <c r="AK20" s="118">
        <f>U12+U13+U15+U16*2+U17*2+AC14+AC12+U34*10</f>
        <v>43483573.792796001</v>
      </c>
      <c r="AL20" s="22">
        <f>V12+V13+V15+V16*2+V17*2+AD14+AD12+V34*10</f>
        <v>42156179.246450737</v>
      </c>
      <c r="AM20" s="23">
        <f>AL20+AK20</f>
        <v>85639753.039246738</v>
      </c>
    </row>
    <row r="21" spans="1:39" ht="15.75" thickBot="1">
      <c r="E21" s="5" t="s">
        <v>71</v>
      </c>
      <c r="F21" s="19">
        <f>B11/100*F18/(1-B11/100)</f>
        <v>170369944.44444445</v>
      </c>
      <c r="G21" s="19">
        <f>B11/100*G18/(1-B11/100)</f>
        <v>170369944.44444445</v>
      </c>
      <c r="H21" s="162">
        <f>G21+F21</f>
        <v>340739888.8888889</v>
      </c>
      <c r="L21" s="5" t="s">
        <v>26</v>
      </c>
      <c r="M21" s="24">
        <f>$J26*F$17</f>
        <v>954344.28079999995</v>
      </c>
      <c r="N21" s="20">
        <f>$J26*G$17</f>
        <v>954344.28079999995</v>
      </c>
      <c r="O21" s="20">
        <f t="shared" si="2"/>
        <v>1908688.5615999999</v>
      </c>
      <c r="P21" s="140">
        <f t="shared" si="3"/>
        <v>1908688.5615999999</v>
      </c>
      <c r="Q21" s="52" t="s">
        <v>40</v>
      </c>
      <c r="R21" s="54">
        <v>5.0999999999999996</v>
      </c>
      <c r="U21" s="87" t="s">
        <v>21</v>
      </c>
      <c r="V21" s="317"/>
      <c r="W21" s="318"/>
      <c r="AA21" s="127" t="s">
        <v>94</v>
      </c>
      <c r="AB21" s="128"/>
      <c r="AC21" s="128"/>
      <c r="AD21" s="128"/>
      <c r="AE21" s="80"/>
      <c r="AF21" s="59"/>
      <c r="AG21" s="60"/>
      <c r="AJ21" s="5" t="s">
        <v>8</v>
      </c>
      <c r="AK21" s="330">
        <f>U14*2+U15*4+U16*4+U17*6+AC11*2+AC13*3+AC14+AC16+U23*2+U34*8</f>
        <v>128141220.93048571</v>
      </c>
      <c r="AL21" s="24">
        <f>V14*2+V15*4+V16*4+V17*6+AD11*2+AD13*3+AD14+AD16+V23*2+V34*8</f>
        <v>124849009.8318119</v>
      </c>
      <c r="AM21" s="20">
        <f>AL21+AK21</f>
        <v>252990230.76229763</v>
      </c>
    </row>
    <row r="22" spans="1:39" ht="15.75" thickBot="1">
      <c r="E22" s="73" t="s">
        <v>16</v>
      </c>
      <c r="F22" s="74">
        <f>F18+F21</f>
        <v>1703699444.4444444</v>
      </c>
      <c r="G22" s="74">
        <f>G18+G21</f>
        <v>1703699444.4444444</v>
      </c>
      <c r="H22" s="179">
        <f>G22+F22</f>
        <v>3407398888.8888888</v>
      </c>
      <c r="I22" s="50" t="s">
        <v>22</v>
      </c>
      <c r="J22" s="39"/>
      <c r="L22" s="5" t="s">
        <v>27</v>
      </c>
      <c r="M22" s="24">
        <f>$J27*F$17</f>
        <v>441384.22986999998</v>
      </c>
      <c r="N22" s="20">
        <f>$J27*G$17</f>
        <v>441384.22986999998</v>
      </c>
      <c r="O22" s="20">
        <f t="shared" si="2"/>
        <v>882768.45973999996</v>
      </c>
      <c r="P22" s="140">
        <f t="shared" si="3"/>
        <v>882768.45973999996</v>
      </c>
      <c r="Q22" s="52" t="s">
        <v>41</v>
      </c>
      <c r="R22" s="54">
        <v>0.7</v>
      </c>
      <c r="T22" s="11" t="s">
        <v>66</v>
      </c>
      <c r="U22" s="3" t="s">
        <v>17</v>
      </c>
      <c r="V22" s="3" t="s">
        <v>18</v>
      </c>
      <c r="W22" s="3" t="s">
        <v>16</v>
      </c>
      <c r="X22" s="177" t="s">
        <v>19</v>
      </c>
      <c r="AA22" s="127" t="s">
        <v>95</v>
      </c>
      <c r="AB22" s="128"/>
      <c r="AC22" s="128"/>
      <c r="AD22" s="128"/>
      <c r="AE22" s="128"/>
      <c r="AF22" s="128"/>
      <c r="AG22" s="60"/>
      <c r="AJ22" s="5" t="s">
        <v>9</v>
      </c>
      <c r="AK22" s="330">
        <f>U12*2+U13+AC12+U23</f>
        <v>63351655.604585066</v>
      </c>
      <c r="AL22" s="24">
        <f>V12*2+V13+AD12+V23</f>
        <v>61133677.720062435</v>
      </c>
      <c r="AM22" s="20">
        <f>AL22+AK22</f>
        <v>124485333.3246475</v>
      </c>
    </row>
    <row r="23" spans="1:39" ht="15.75" thickBot="1">
      <c r="A23" s="50" t="s">
        <v>6</v>
      </c>
      <c r="B23" s="51"/>
      <c r="C23" s="39"/>
      <c r="H23" s="36" t="s">
        <v>54</v>
      </c>
      <c r="I23" s="52" t="s">
        <v>23</v>
      </c>
      <c r="J23" s="54"/>
      <c r="L23" s="5" t="s">
        <v>28</v>
      </c>
      <c r="M23" s="24">
        <f>$J28*F$17</f>
        <v>5702207.0777799999</v>
      </c>
      <c r="N23" s="20">
        <f>$J28*G$17</f>
        <v>5702207.0777799999</v>
      </c>
      <c r="O23" s="20">
        <f t="shared" si="2"/>
        <v>11404414.15556</v>
      </c>
      <c r="P23" s="140">
        <f t="shared" si="3"/>
        <v>11404414.15556</v>
      </c>
      <c r="Q23" s="52" t="s">
        <v>42</v>
      </c>
      <c r="R23" s="54">
        <v>17.3</v>
      </c>
      <c r="T23" s="153" t="s">
        <v>71</v>
      </c>
      <c r="U23" s="142">
        <f>U13/R29*R30</f>
        <v>32120009.921476919</v>
      </c>
      <c r="V23" s="166">
        <f>V13/R29*R30</f>
        <v>30994580.657212526</v>
      </c>
      <c r="W23" s="166">
        <f>V23+U23</f>
        <v>63114590.578689441</v>
      </c>
      <c r="X23" s="160">
        <f>W23*(F30*2+F31)</f>
        <v>1137072463.8656688</v>
      </c>
      <c r="AA23" s="324" t="s">
        <v>102</v>
      </c>
      <c r="AB23" s="61"/>
      <c r="AC23" s="61"/>
      <c r="AD23" s="62"/>
      <c r="AE23" s="59"/>
      <c r="AF23" s="59"/>
      <c r="AG23" s="60"/>
      <c r="AJ23" s="5" t="s">
        <v>10</v>
      </c>
      <c r="AK23" s="330">
        <f>AC13+AC14+AC15*2</f>
        <v>81795.088341543538</v>
      </c>
      <c r="AL23" s="24">
        <f>AD13+AD14+AD15*2</f>
        <v>1390516.5018062398</v>
      </c>
      <c r="AM23" s="20">
        <f>AL23+AK23</f>
        <v>1472311.5901477833</v>
      </c>
    </row>
    <row r="24" spans="1:39" ht="15.75" thickBot="1">
      <c r="A24" s="52"/>
      <c r="B24" s="53" t="s">
        <v>13</v>
      </c>
      <c r="C24" s="54" t="s">
        <v>14</v>
      </c>
      <c r="H24" s="70">
        <f>H22/8000</f>
        <v>425924.86111111112</v>
      </c>
      <c r="I24" s="52" t="s">
        <v>24</v>
      </c>
      <c r="J24" s="54">
        <v>5.0000000000000001E-3</v>
      </c>
      <c r="L24" s="5" t="s">
        <v>29</v>
      </c>
      <c r="M24" s="24">
        <f>$J29*F$17</f>
        <v>13181880.378549999</v>
      </c>
      <c r="N24" s="20">
        <f>$J29*G$17</f>
        <v>13181880.378549999</v>
      </c>
      <c r="O24" s="20">
        <f t="shared" si="2"/>
        <v>26363760.757099997</v>
      </c>
      <c r="P24" s="140">
        <f t="shared" si="3"/>
        <v>26363760.757099997</v>
      </c>
      <c r="Q24" s="40"/>
      <c r="R24" s="41" t="s">
        <v>43</v>
      </c>
      <c r="T24" s="111" t="s">
        <v>105</v>
      </c>
      <c r="U24" s="76">
        <f>U23+AC17+U18</f>
        <v>77586879.557937935</v>
      </c>
      <c r="V24" s="76">
        <f>V23+AD17+V18</f>
        <v>75771820.316252708</v>
      </c>
      <c r="W24" s="138">
        <f>V24+U24</f>
        <v>153358699.87419063</v>
      </c>
      <c r="X24" s="161">
        <f>X23+AF17+X18</f>
        <v>3159934041.0460768</v>
      </c>
      <c r="AA24" s="324" t="s">
        <v>96</v>
      </c>
      <c r="AB24" s="61"/>
      <c r="AC24" s="62"/>
      <c r="AD24" s="61"/>
      <c r="AE24" s="61"/>
      <c r="AF24" s="61"/>
      <c r="AG24" s="62"/>
      <c r="AJ24" s="10" t="s">
        <v>11</v>
      </c>
      <c r="AK24" s="331">
        <f>AC11+AC12</f>
        <v>0</v>
      </c>
      <c r="AL24" s="30">
        <f>AD11+AD12</f>
        <v>17539.0669722768</v>
      </c>
      <c r="AM24" s="29">
        <f>AL24+AK24</f>
        <v>17539.0669722768</v>
      </c>
    </row>
    <row r="25" spans="1:39" ht="15.75" thickBot="1">
      <c r="A25" s="52" t="s">
        <v>15</v>
      </c>
      <c r="B25" s="55">
        <v>39979</v>
      </c>
      <c r="C25" s="56">
        <v>40118</v>
      </c>
      <c r="I25" s="52" t="s">
        <v>25</v>
      </c>
      <c r="J25" s="54">
        <v>0.56830000000000003</v>
      </c>
      <c r="L25" s="5" t="s">
        <v>30</v>
      </c>
      <c r="M25" s="24">
        <f>$J30*F$17</f>
        <v>357879.1053</v>
      </c>
      <c r="N25" s="20">
        <f>$J30*G$17</f>
        <v>357879.1053</v>
      </c>
      <c r="O25" s="20">
        <f t="shared" si="2"/>
        <v>715758.21059999999</v>
      </c>
      <c r="P25" s="140">
        <f t="shared" si="3"/>
        <v>715758.21059999999</v>
      </c>
      <c r="Q25" s="58" t="s">
        <v>84</v>
      </c>
      <c r="R25" s="60"/>
      <c r="T25" s="170" t="s">
        <v>101</v>
      </c>
      <c r="U25" s="139">
        <f>((U24)*R38*R37/R39)</f>
        <v>69277398415.23024</v>
      </c>
      <c r="V25" s="137">
        <f>(V24)*R38*R37/R39</f>
        <v>67656730295.183273</v>
      </c>
      <c r="W25" s="138">
        <f>V25+U25</f>
        <v>136934128710.41351</v>
      </c>
    </row>
    <row r="26" spans="1:39">
      <c r="A26" s="52" t="s">
        <v>7</v>
      </c>
      <c r="B26" s="53">
        <v>0.49659999999999999</v>
      </c>
      <c r="C26" s="54">
        <v>0.47920000000000001</v>
      </c>
      <c r="I26" s="52" t="s">
        <v>26</v>
      </c>
      <c r="J26" s="54">
        <v>8.0000000000000002E-3</v>
      </c>
      <c r="L26" s="5" t="s">
        <v>31</v>
      </c>
      <c r="M26" s="24">
        <f>$J31*F$17</f>
        <v>10807948.98006</v>
      </c>
      <c r="N26" s="20">
        <f>$J31*G$17</f>
        <v>10807948.98006</v>
      </c>
      <c r="O26" s="20">
        <f t="shared" si="2"/>
        <v>21615897.96012</v>
      </c>
      <c r="P26" s="140">
        <f t="shared" si="3"/>
        <v>21615897.96012</v>
      </c>
      <c r="AJ26" s="11" t="s">
        <v>108</v>
      </c>
      <c r="AK26" s="72"/>
      <c r="AL26" s="72"/>
      <c r="AM26" s="4"/>
    </row>
    <row r="27" spans="1:39" ht="15.75" thickBot="1">
      <c r="A27" s="52" t="s">
        <v>8</v>
      </c>
      <c r="B27" s="53">
        <v>6.4399999999999999E-2</v>
      </c>
      <c r="C27" s="54">
        <v>6.4100000000000004E-2</v>
      </c>
      <c r="I27" s="52" t="s">
        <v>27</v>
      </c>
      <c r="J27" s="54">
        <v>3.7000000000000002E-3</v>
      </c>
      <c r="L27" s="5" t="s">
        <v>32</v>
      </c>
      <c r="M27" s="24">
        <f>$J32*F$17</f>
        <v>6525329.0199699998</v>
      </c>
      <c r="N27" s="20">
        <f>$J32*G$17</f>
        <v>6525329.0199699998</v>
      </c>
      <c r="O27" s="20">
        <f t="shared" si="2"/>
        <v>13050658.03994</v>
      </c>
      <c r="P27" s="140">
        <f t="shared" si="3"/>
        <v>13050658.03994</v>
      </c>
      <c r="Q27" s="50" t="s">
        <v>97</v>
      </c>
      <c r="R27" s="39"/>
      <c r="AJ27" s="5"/>
      <c r="AK27" s="6" t="s">
        <v>13</v>
      </c>
      <c r="AL27" s="6" t="s">
        <v>14</v>
      </c>
      <c r="AM27" s="65" t="s">
        <v>16</v>
      </c>
    </row>
    <row r="28" spans="1:39" ht="15.75" thickBot="1">
      <c r="A28" s="52" t="s">
        <v>9</v>
      </c>
      <c r="B28" s="53">
        <v>0.36030000000000001</v>
      </c>
      <c r="C28" s="54">
        <v>0.3649</v>
      </c>
      <c r="E28" s="38"/>
      <c r="F28" s="57" t="s">
        <v>47</v>
      </c>
      <c r="I28" s="52" t="s">
        <v>28</v>
      </c>
      <c r="J28" s="54">
        <v>4.7800000000000002E-2</v>
      </c>
      <c r="L28" s="5" t="s">
        <v>119</v>
      </c>
      <c r="M28" s="24">
        <f>$J33*F$17</f>
        <v>12824001.273249999</v>
      </c>
      <c r="N28" s="20">
        <f>$J33*G$17</f>
        <v>12824001.273249999</v>
      </c>
      <c r="O28" s="20">
        <f t="shared" si="2"/>
        <v>25648002.546499997</v>
      </c>
      <c r="P28" s="140">
        <f t="shared" si="3"/>
        <v>25648002.546499997</v>
      </c>
      <c r="Q28" s="52"/>
      <c r="R28" s="54" t="s">
        <v>51</v>
      </c>
      <c r="T28" s="11" t="s">
        <v>103</v>
      </c>
      <c r="U28" s="269">
        <f>U25*X41/(1-X41)</f>
        <v>485249121.44345528</v>
      </c>
      <c r="V28" s="319">
        <f>V25*X41/(1-X41)</f>
        <v>473897254.89831501</v>
      </c>
      <c r="W28" s="17">
        <f>V28+U28</f>
        <v>959146376.34177029</v>
      </c>
      <c r="Z28" s="11" t="s">
        <v>89</v>
      </c>
      <c r="AA28" s="3" t="s">
        <v>21</v>
      </c>
      <c r="AB28" s="72"/>
      <c r="AC28" s="4"/>
      <c r="AJ28" s="5" t="s">
        <v>7</v>
      </c>
      <c r="AK28" s="118">
        <f>AK11-AK20</f>
        <v>19917877.472815983</v>
      </c>
      <c r="AL28" s="118">
        <f>AL11-AL20</f>
        <v>19023795.474615037</v>
      </c>
      <c r="AM28" s="23">
        <f>AL28+AK28</f>
        <v>38941672.94743102</v>
      </c>
    </row>
    <row r="29" spans="1:39" ht="15.75" thickBot="1">
      <c r="A29" s="52" t="s">
        <v>10</v>
      </c>
      <c r="B29" s="53">
        <v>8.0000000000000004E-4</v>
      </c>
      <c r="C29" s="54">
        <v>1.3599999999999999E-2</v>
      </c>
      <c r="E29" s="52" t="s">
        <v>7</v>
      </c>
      <c r="F29" s="54">
        <v>12.01</v>
      </c>
      <c r="I29" s="52" t="s">
        <v>29</v>
      </c>
      <c r="J29" s="54">
        <v>0.1105</v>
      </c>
      <c r="L29" s="11" t="s">
        <v>66</v>
      </c>
      <c r="M29" s="77" t="s">
        <v>21</v>
      </c>
      <c r="N29" s="13"/>
      <c r="O29" s="4"/>
      <c r="P29" s="82"/>
      <c r="Q29" s="52" t="s">
        <v>37</v>
      </c>
      <c r="R29" s="54">
        <v>25.1</v>
      </c>
      <c r="T29" s="167" t="s">
        <v>104</v>
      </c>
      <c r="U29" s="35">
        <f>U28+U25</f>
        <v>69762647536.673691</v>
      </c>
      <c r="V29" s="168">
        <f>V28+V25</f>
        <v>68130627550.081589</v>
      </c>
      <c r="W29" s="159">
        <f>W28+W25</f>
        <v>137893275086.75528</v>
      </c>
      <c r="Z29" s="5"/>
      <c r="AA29" s="90" t="s">
        <v>13</v>
      </c>
      <c r="AB29" s="90" t="s">
        <v>14</v>
      </c>
      <c r="AC29" s="65" t="s">
        <v>16</v>
      </c>
      <c r="AJ29" s="5" t="s">
        <v>8</v>
      </c>
      <c r="AK29" s="118">
        <f>AK12-AK21</f>
        <v>56822134.829826131</v>
      </c>
      <c r="AL29" s="118">
        <f>AL12-AL21</f>
        <v>59657997.863023758</v>
      </c>
      <c r="AM29" s="20">
        <f>AL29+AK29</f>
        <v>116480132.69284989</v>
      </c>
    </row>
    <row r="30" spans="1:39" ht="15.75" thickBot="1">
      <c r="A30" s="52" t="s">
        <v>11</v>
      </c>
      <c r="B30" s="53">
        <v>0</v>
      </c>
      <c r="C30" s="54">
        <v>4.0000000000000002E-4</v>
      </c>
      <c r="E30" s="52" t="s">
        <v>8</v>
      </c>
      <c r="F30" s="54">
        <v>1.008</v>
      </c>
      <c r="I30" s="52" t="s">
        <v>30</v>
      </c>
      <c r="J30" s="54">
        <v>3.0000000000000001E-3</v>
      </c>
      <c r="L30" s="10" t="s">
        <v>57</v>
      </c>
      <c r="M30" s="78">
        <f>F21/F35</f>
        <v>9456591.0548648126</v>
      </c>
      <c r="N30" s="26">
        <f>G21/F35</f>
        <v>9456591.0548648126</v>
      </c>
      <c r="O30" s="29">
        <f>N30+M30</f>
        <v>18913182.109729625</v>
      </c>
      <c r="P30" s="141">
        <f>O30*F35</f>
        <v>340739888.8888889</v>
      </c>
      <c r="Q30" s="52" t="s">
        <v>71</v>
      </c>
      <c r="R30" s="54">
        <v>40</v>
      </c>
      <c r="S30" s="63"/>
      <c r="T30" s="63"/>
      <c r="Z30" s="5" t="s">
        <v>11</v>
      </c>
      <c r="AA30" s="19">
        <f>AD30/100*M16</f>
        <v>0</v>
      </c>
      <c r="AB30" s="19">
        <f>AD30/100*N16</f>
        <v>1587.5055165746719</v>
      </c>
      <c r="AC30" s="20">
        <f>AB30+AA30</f>
        <v>1587.5055165746719</v>
      </c>
      <c r="AD30" s="145">
        <v>8.3000000000000007</v>
      </c>
      <c r="AE30" s="131" t="s">
        <v>91</v>
      </c>
      <c r="AF30" s="80"/>
      <c r="AJ30" s="5" t="s">
        <v>9</v>
      </c>
      <c r="AK30" s="118">
        <f>AK13-AK22</f>
        <v>14677326.925918087</v>
      </c>
      <c r="AL30" s="118">
        <f>AL13-AL22</f>
        <v>17336137.041690707</v>
      </c>
      <c r="AM30" s="20">
        <f>AL30+AK30</f>
        <v>32013463.967608795</v>
      </c>
    </row>
    <row r="31" spans="1:39" ht="15.75" thickBot="1">
      <c r="A31" s="52" t="s">
        <v>12</v>
      </c>
      <c r="B31" s="53">
        <v>7.7799999999999994E-2</v>
      </c>
      <c r="C31" s="54">
        <v>7.7799999999999994E-2</v>
      </c>
      <c r="E31" s="52" t="s">
        <v>9</v>
      </c>
      <c r="F31" s="54">
        <v>16</v>
      </c>
      <c r="I31" s="52" t="s">
        <v>31</v>
      </c>
      <c r="J31" s="54">
        <v>9.06E-2</v>
      </c>
      <c r="Q31" s="79" t="s">
        <v>98</v>
      </c>
      <c r="R31" s="62"/>
      <c r="Z31" s="5" t="s">
        <v>10</v>
      </c>
      <c r="AA31" s="19">
        <f>AD31/100*M15</f>
        <v>5779.9527093596071</v>
      </c>
      <c r="AB31" s="19">
        <f>AD31/100*N15</f>
        <v>98259.196059113296</v>
      </c>
      <c r="AC31" s="20">
        <f>AB31+AA31</f>
        <v>104039.14876847291</v>
      </c>
      <c r="AD31" s="51">
        <v>6.6</v>
      </c>
      <c r="AE31" s="132" t="s">
        <v>93</v>
      </c>
      <c r="AF31" s="133"/>
      <c r="AJ31" s="5" t="s">
        <v>10</v>
      </c>
      <c r="AK31" s="118">
        <f>AK14-AK23</f>
        <v>5779.9527093595971</v>
      </c>
      <c r="AL31" s="118">
        <f>AL14-AL23</f>
        <v>98259.196059113136</v>
      </c>
      <c r="AM31" s="20">
        <f>AL31+AK31</f>
        <v>104039.14876847273</v>
      </c>
    </row>
    <row r="32" spans="1:39" ht="15.75" thickBot="1">
      <c r="A32" s="79" t="s">
        <v>115</v>
      </c>
      <c r="B32" s="61"/>
      <c r="C32" s="62"/>
      <c r="E32" s="52" t="s">
        <v>10</v>
      </c>
      <c r="F32" s="54">
        <v>14.007</v>
      </c>
      <c r="I32" s="52" t="s">
        <v>32</v>
      </c>
      <c r="J32" s="54">
        <v>5.4699999999999999E-2</v>
      </c>
      <c r="U32" s="87" t="s">
        <v>21</v>
      </c>
      <c r="V32" s="317"/>
      <c r="W32" s="318"/>
      <c r="Z32" s="88" t="s">
        <v>9</v>
      </c>
      <c r="AA32" s="325">
        <f>AK30</f>
        <v>14677326.925918087</v>
      </c>
      <c r="AB32" s="325">
        <f>AL30</f>
        <v>17336137.041690707</v>
      </c>
      <c r="AC32" s="326">
        <f>AM30</f>
        <v>32013463.967608795</v>
      </c>
      <c r="AD32" s="146">
        <v>4</v>
      </c>
      <c r="AE32" s="128" t="s">
        <v>251</v>
      </c>
      <c r="AF32" s="128"/>
      <c r="AJ32" s="10" t="s">
        <v>11</v>
      </c>
      <c r="AK32" s="332">
        <f>AK15-AK24</f>
        <v>0</v>
      </c>
      <c r="AL32" s="332">
        <f>AL15-AL24</f>
        <v>1587.5055165746671</v>
      </c>
      <c r="AM32" s="29">
        <f>AL32+AK32</f>
        <v>1587.5055165746671</v>
      </c>
    </row>
    <row r="33" spans="5:40" ht="15.75" thickBot="1">
      <c r="E33" s="52" t="s">
        <v>11</v>
      </c>
      <c r="F33" s="54">
        <v>32.067</v>
      </c>
      <c r="I33" s="40" t="s">
        <v>33</v>
      </c>
      <c r="J33" s="41">
        <v>0.1075</v>
      </c>
      <c r="Q33" s="43" t="s">
        <v>244</v>
      </c>
      <c r="R33" s="75"/>
      <c r="T33" s="11" t="s">
        <v>49</v>
      </c>
      <c r="U33" s="172" t="s">
        <v>17</v>
      </c>
      <c r="V33" s="173" t="s">
        <v>18</v>
      </c>
      <c r="W33" s="12" t="s">
        <v>16</v>
      </c>
      <c r="X33" s="327" t="s">
        <v>19</v>
      </c>
      <c r="Z33" s="5" t="s">
        <v>8</v>
      </c>
      <c r="AA33" s="19">
        <f>AK29</f>
        <v>56822134.829826131</v>
      </c>
      <c r="AB33" s="19">
        <f>AL29</f>
        <v>59657997.863023758</v>
      </c>
      <c r="AC33" s="20">
        <f>AM29</f>
        <v>116480132.69284989</v>
      </c>
      <c r="AJ33" s="84" t="s">
        <v>252</v>
      </c>
      <c r="AK33" s="125"/>
      <c r="AL33" s="125"/>
      <c r="AM33" s="124"/>
    </row>
    <row r="34" spans="5:40" ht="15.75" thickBot="1">
      <c r="E34" s="52" t="s">
        <v>24</v>
      </c>
      <c r="F34" s="54">
        <v>35.453000000000003</v>
      </c>
      <c r="I34" s="58" t="s">
        <v>116</v>
      </c>
      <c r="J34" s="60"/>
      <c r="Q34" s="38" t="s">
        <v>245</v>
      </c>
      <c r="R34" s="39">
        <f>R36+273.15</f>
        <v>1063.1500000000001</v>
      </c>
      <c r="T34" s="111" t="s">
        <v>21</v>
      </c>
      <c r="U34" s="30">
        <f>U29*Q45</f>
        <v>543452.35245946608</v>
      </c>
      <c r="V34" s="158">
        <f>V29*Q45</f>
        <v>530738.88569334184</v>
      </c>
      <c r="W34" s="29">
        <f>V34+U34</f>
        <v>1074191.238152808</v>
      </c>
      <c r="X34" s="70">
        <f>W34*(F29*10+F30*8)</f>
        <v>137672645.84661648</v>
      </c>
      <c r="Z34" s="10" t="s">
        <v>7</v>
      </c>
      <c r="AA34" s="76">
        <f>AK28</f>
        <v>19917877.472815983</v>
      </c>
      <c r="AB34" s="76">
        <f>AL28</f>
        <v>19023795.474615037</v>
      </c>
      <c r="AC34" s="29">
        <f>AM28</f>
        <v>38941672.94743102</v>
      </c>
    </row>
    <row r="35" spans="5:40" ht="15.75" thickBot="1">
      <c r="E35" s="40" t="s">
        <v>71</v>
      </c>
      <c r="F35" s="41">
        <f>F30*2+F31</f>
        <v>18.015999999999998</v>
      </c>
      <c r="Q35" s="52" t="s">
        <v>227</v>
      </c>
      <c r="R35" s="54">
        <f>Energy!AD24</f>
        <v>1454</v>
      </c>
      <c r="Z35" s="11" t="s">
        <v>12</v>
      </c>
      <c r="AA35" s="31" t="s">
        <v>19</v>
      </c>
      <c r="AB35" s="17"/>
      <c r="AC35" s="17"/>
    </row>
    <row r="36" spans="5:40">
      <c r="Q36" s="52" t="s">
        <v>246</v>
      </c>
      <c r="R36" s="54">
        <f>(R35-32)*5/9</f>
        <v>790</v>
      </c>
      <c r="V36" s="94" t="s">
        <v>73</v>
      </c>
      <c r="W36" s="95"/>
      <c r="X36" s="96"/>
      <c r="Z36" s="5"/>
      <c r="AA36" s="149" t="s">
        <v>17</v>
      </c>
      <c r="AB36" s="148" t="s">
        <v>18</v>
      </c>
      <c r="AC36" s="148" t="s">
        <v>109</v>
      </c>
    </row>
    <row r="37" spans="5:40" ht="15.75" thickBot="1">
      <c r="Q37" s="38" t="s">
        <v>247</v>
      </c>
      <c r="R37" s="39">
        <f>((R36*9/5)+32)+459.67</f>
        <v>1913.67</v>
      </c>
      <c r="V37" s="97"/>
      <c r="W37" s="54" t="s">
        <v>74</v>
      </c>
      <c r="X37" s="98" t="s">
        <v>76</v>
      </c>
      <c r="Z37" s="5" t="s">
        <v>25</v>
      </c>
      <c r="AA37" s="24">
        <f>M20</f>
        <v>67794231.847330004</v>
      </c>
      <c r="AB37" s="24">
        <f>N20</f>
        <v>67794231.847330004</v>
      </c>
      <c r="AC37" s="33">
        <f>O20</f>
        <v>135588463.69466001</v>
      </c>
    </row>
    <row r="38" spans="5:40" ht="15.75" thickBot="1">
      <c r="J38" s="11" t="s">
        <v>80</v>
      </c>
      <c r="K38" s="85">
        <v>0.4</v>
      </c>
      <c r="L38" s="116" t="s">
        <v>82</v>
      </c>
      <c r="M38" s="117"/>
      <c r="Q38" s="52" t="s">
        <v>53</v>
      </c>
      <c r="R38" s="54">
        <v>10.731590000000001</v>
      </c>
      <c r="V38" s="97" t="s">
        <v>7</v>
      </c>
      <c r="W38" s="54">
        <f>10/18*100</f>
        <v>55.555555555555557</v>
      </c>
      <c r="X38" s="98">
        <f>W38*F29/(W38*F29+W39*F30)</f>
        <v>0.93708061546144006</v>
      </c>
      <c r="Z38" s="5" t="s">
        <v>26</v>
      </c>
      <c r="AA38" s="24">
        <f>M21</f>
        <v>954344.28079999995</v>
      </c>
      <c r="AB38" s="24">
        <f>N21</f>
        <v>954344.28079999995</v>
      </c>
      <c r="AC38" s="33">
        <f>O21</f>
        <v>1908688.5615999999</v>
      </c>
    </row>
    <row r="39" spans="5:40">
      <c r="J39" s="5"/>
      <c r="K39" s="6" t="s">
        <v>13</v>
      </c>
      <c r="L39" s="6" t="s">
        <v>14</v>
      </c>
      <c r="M39" s="65" t="s">
        <v>16</v>
      </c>
      <c r="Q39" s="40" t="s">
        <v>62</v>
      </c>
      <c r="R39" s="41">
        <v>23</v>
      </c>
      <c r="V39" s="97" t="s">
        <v>75</v>
      </c>
      <c r="W39" s="54">
        <f>8/18*100</f>
        <v>44.444444444444443</v>
      </c>
      <c r="X39" s="99">
        <f>W39*F30/(W38*F29+W39*F30)</f>
        <v>6.2919384538559969E-2</v>
      </c>
      <c r="Z39" s="5" t="s">
        <v>27</v>
      </c>
      <c r="AA39" s="24">
        <f>M22</f>
        <v>441384.22986999998</v>
      </c>
      <c r="AB39" s="24">
        <f>N22</f>
        <v>441384.22986999998</v>
      </c>
      <c r="AC39" s="33">
        <f>O22</f>
        <v>882768.45973999996</v>
      </c>
      <c r="AM39" s="64"/>
    </row>
    <row r="40" spans="5:40" ht="15.75" thickBot="1">
      <c r="J40" s="110" t="s">
        <v>19</v>
      </c>
      <c r="K40" s="118">
        <f>K38*F18</f>
        <v>613331800</v>
      </c>
      <c r="L40" s="22">
        <f>K38*G18</f>
        <v>613331800</v>
      </c>
      <c r="M40" s="120">
        <f>L40+K40</f>
        <v>1226663600</v>
      </c>
      <c r="N40" s="63"/>
      <c r="O40" s="63"/>
      <c r="V40" s="100" t="s">
        <v>248</v>
      </c>
      <c r="W40" s="101"/>
      <c r="X40" s="102"/>
      <c r="Z40" s="5" t="s">
        <v>28</v>
      </c>
      <c r="AA40" s="24">
        <f>M23</f>
        <v>5702207.0777799999</v>
      </c>
      <c r="AB40" s="24">
        <f>N23</f>
        <v>5702207.0777799999</v>
      </c>
      <c r="AC40" s="33">
        <f>O23</f>
        <v>11404414.15556</v>
      </c>
      <c r="AM40" s="64"/>
    </row>
    <row r="41" spans="5:40" ht="15.75" thickBot="1">
      <c r="J41" s="111" t="s">
        <v>21</v>
      </c>
      <c r="K41" s="78">
        <f>K40/F35</f>
        <v>34043727.797513328</v>
      </c>
      <c r="L41" s="26">
        <f>L40/F35</f>
        <v>34043727.797513328</v>
      </c>
      <c r="M41" s="122">
        <f>L41+K41</f>
        <v>68087455.595026657</v>
      </c>
      <c r="Q41" s="94" t="s">
        <v>49</v>
      </c>
      <c r="R41" s="103"/>
      <c r="V41" s="135" t="s">
        <v>99</v>
      </c>
      <c r="W41" s="6"/>
      <c r="X41" s="136">
        <f>Q45*R38*R37/R39</f>
        <v>6.9557153946653684E-3</v>
      </c>
      <c r="Z41" s="5" t="s">
        <v>29</v>
      </c>
      <c r="AA41" s="24">
        <f>M24</f>
        <v>13181880.378549999</v>
      </c>
      <c r="AB41" s="24">
        <f>N24</f>
        <v>13181880.378549999</v>
      </c>
      <c r="AC41" s="33">
        <f>O24</f>
        <v>26363760.757099997</v>
      </c>
      <c r="AM41" s="64"/>
    </row>
    <row r="42" spans="5:40" ht="15.75" thickBot="1">
      <c r="J42" s="107" t="s">
        <v>81</v>
      </c>
      <c r="K42" s="115"/>
      <c r="L42" s="115"/>
      <c r="M42" s="102"/>
      <c r="Q42" s="97">
        <v>16</v>
      </c>
      <c r="R42" s="104" t="s">
        <v>48</v>
      </c>
      <c r="Z42" s="5" t="s">
        <v>30</v>
      </c>
      <c r="AA42" s="24">
        <f>M25</f>
        <v>357879.1053</v>
      </c>
      <c r="AB42" s="24">
        <f>N25</f>
        <v>357879.1053</v>
      </c>
      <c r="AC42" s="33">
        <f>O25</f>
        <v>715758.21059999999</v>
      </c>
      <c r="AM42" s="64"/>
    </row>
    <row r="43" spans="5:40" ht="15.75" thickBot="1">
      <c r="Q43" s="105">
        <f>Q42*0.0000624</f>
        <v>9.9839999999999998E-4</v>
      </c>
      <c r="R43" s="106" t="s">
        <v>50</v>
      </c>
      <c r="T43" s="320" t="s">
        <v>243</v>
      </c>
      <c r="U43" s="11" t="s">
        <v>21</v>
      </c>
      <c r="V43" s="72"/>
      <c r="W43" s="4"/>
      <c r="X43" s="1" t="s">
        <v>19</v>
      </c>
      <c r="Z43" s="5" t="s">
        <v>31</v>
      </c>
      <c r="AA43" s="24">
        <f>M26</f>
        <v>10807948.98006</v>
      </c>
      <c r="AB43" s="24">
        <f>N26</f>
        <v>10807948.98006</v>
      </c>
      <c r="AC43" s="33">
        <f>O26</f>
        <v>21615897.96012</v>
      </c>
      <c r="AM43" s="64"/>
      <c r="AN43" s="64"/>
    </row>
    <row r="44" spans="5:40" ht="15.75" thickBot="1">
      <c r="Q44" s="134" t="s">
        <v>79</v>
      </c>
      <c r="R44" s="126"/>
      <c r="T44" s="87" t="s">
        <v>113</v>
      </c>
      <c r="U44" s="174">
        <f>U34+U24</f>
        <v>78130331.910397395</v>
      </c>
      <c r="V44" s="171">
        <f>V34+V24</f>
        <v>76302559.20194605</v>
      </c>
      <c r="W44" s="175">
        <f>W34+W24</f>
        <v>154432891.11234343</v>
      </c>
      <c r="X44" s="175">
        <f>X34+X24</f>
        <v>3297606686.892693</v>
      </c>
      <c r="Z44" s="5" t="s">
        <v>32</v>
      </c>
      <c r="AA44" s="24">
        <f>M27</f>
        <v>6525329.0199699998</v>
      </c>
      <c r="AB44" s="24">
        <f>N27</f>
        <v>6525329.0199699998</v>
      </c>
      <c r="AC44" s="33">
        <f>O27</f>
        <v>13050658.03994</v>
      </c>
      <c r="AL44" s="305"/>
      <c r="AM44" s="64"/>
      <c r="AN44" s="64"/>
    </row>
    <row r="45" spans="5:40" ht="15.75" thickBot="1">
      <c r="Q45" s="88">
        <f>Q43/(F29*10+F30*8)</f>
        <v>7.7900190381074247E-6</v>
      </c>
      <c r="R45" s="89" t="s">
        <v>100</v>
      </c>
      <c r="S45" s="63"/>
      <c r="T45" s="63"/>
      <c r="Z45" s="10" t="s">
        <v>119</v>
      </c>
      <c r="AA45" s="30">
        <f>M28</f>
        <v>12824001.273249999</v>
      </c>
      <c r="AB45" s="30">
        <f>N28</f>
        <v>12824001.273249999</v>
      </c>
      <c r="AC45" s="147">
        <f>O28</f>
        <v>25648002.546499997</v>
      </c>
      <c r="AL45" s="305"/>
      <c r="AM45" s="64"/>
      <c r="AN45" s="64"/>
    </row>
    <row r="52" spans="3:11">
      <c r="J52" s="108"/>
      <c r="K52" s="108"/>
    </row>
    <row r="53" spans="3:11">
      <c r="J53" s="64"/>
      <c r="K53" s="64"/>
    </row>
    <row r="54" spans="3:11">
      <c r="J54" s="64"/>
      <c r="K54" s="64"/>
    </row>
    <row r="55" spans="3:11">
      <c r="J55" s="64"/>
      <c r="K55" s="64"/>
    </row>
    <row r="56" spans="3:11">
      <c r="J56" s="64"/>
      <c r="K56" s="64"/>
    </row>
    <row r="57" spans="3:11">
      <c r="I57" s="305"/>
      <c r="J57" s="64"/>
      <c r="K57" s="64"/>
    </row>
    <row r="58" spans="3:11">
      <c r="I58" s="305"/>
      <c r="J58" s="64"/>
      <c r="K58" s="64"/>
    </row>
    <row r="59" spans="3:11">
      <c r="I59" s="305"/>
      <c r="J59" s="64"/>
      <c r="K59" s="64"/>
    </row>
    <row r="60" spans="3:11">
      <c r="C60" s="108"/>
      <c r="D60" s="306"/>
      <c r="E60" s="304"/>
      <c r="F60" s="304"/>
      <c r="J60" s="64"/>
      <c r="K60" s="64"/>
    </row>
    <row r="61" spans="3:11">
      <c r="I61" s="305"/>
      <c r="J61" s="64"/>
      <c r="K61" s="64"/>
    </row>
    <row r="62" spans="3:11">
      <c r="J62" s="64"/>
      <c r="K62" s="64"/>
    </row>
    <row r="64" spans="3:11">
      <c r="C64" s="108"/>
      <c r="D64" s="108"/>
      <c r="E64" s="108"/>
    </row>
    <row r="65" spans="3:18">
      <c r="D65" s="64"/>
      <c r="E65" s="64"/>
    </row>
    <row r="66" spans="3:18">
      <c r="D66" s="64"/>
      <c r="E66" s="64"/>
    </row>
    <row r="67" spans="3:18">
      <c r="D67" s="64"/>
      <c r="E67" s="64"/>
    </row>
    <row r="68" spans="3:18">
      <c r="D68" s="64"/>
      <c r="E68" s="64"/>
    </row>
    <row r="69" spans="3:18">
      <c r="D69" s="64"/>
      <c r="E69" s="64"/>
    </row>
    <row r="70" spans="3:18">
      <c r="D70" s="64"/>
      <c r="E70" s="64"/>
    </row>
    <row r="71" spans="3:18">
      <c r="C71" s="108"/>
      <c r="D71" s="64"/>
      <c r="E71" s="64"/>
    </row>
    <row r="72" spans="3:18">
      <c r="R72" s="64"/>
    </row>
    <row r="73" spans="3:18">
      <c r="R73" s="64"/>
    </row>
    <row r="74" spans="3:18">
      <c r="R74" s="64"/>
    </row>
    <row r="75" spans="3:18">
      <c r="R75" s="64"/>
    </row>
    <row r="76" spans="3:18">
      <c r="R76" s="64"/>
    </row>
    <row r="77" spans="3:18">
      <c r="R77" s="64"/>
    </row>
    <row r="78" spans="3:18">
      <c r="R78" s="64"/>
    </row>
    <row r="79" spans="3:18">
      <c r="R79" s="64"/>
    </row>
    <row r="80" spans="3:18">
      <c r="R80" s="64"/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58"/>
  <sheetViews>
    <sheetView topLeftCell="C1" workbookViewId="0">
      <selection activeCell="B49" sqref="B49:C58"/>
    </sheetView>
  </sheetViews>
  <sheetFormatPr defaultRowHeight="15"/>
  <cols>
    <col min="7" max="7" width="12.28515625" customWidth="1"/>
    <col min="8" max="8" width="10.7109375" customWidth="1"/>
    <col min="10" max="10" width="9.5703125" customWidth="1"/>
    <col min="11" max="11" width="10.5703125" customWidth="1"/>
    <col min="12" max="12" width="11" customWidth="1"/>
    <col min="13" max="13" width="15.140625" customWidth="1"/>
    <col min="14" max="14" width="9.42578125" customWidth="1"/>
    <col min="15" max="15" width="11" bestFit="1" customWidth="1"/>
  </cols>
  <sheetData>
    <row r="1" spans="1:19">
      <c r="A1" s="108" t="s">
        <v>233</v>
      </c>
      <c r="J1" s="108" t="s">
        <v>233</v>
      </c>
    </row>
    <row r="2" spans="1:19">
      <c r="A2" s="108" t="s">
        <v>234</v>
      </c>
      <c r="J2" s="108" t="s">
        <v>234</v>
      </c>
    </row>
    <row r="3" spans="1:19">
      <c r="A3" s="108" t="s">
        <v>235</v>
      </c>
      <c r="B3" s="43" t="s">
        <v>55</v>
      </c>
      <c r="J3" s="108" t="s">
        <v>235</v>
      </c>
      <c r="K3" s="43" t="s">
        <v>55</v>
      </c>
    </row>
    <row r="4" spans="1:19">
      <c r="B4" s="15" t="s">
        <v>56</v>
      </c>
      <c r="K4" s="15" t="s">
        <v>56</v>
      </c>
    </row>
    <row r="5" spans="1:19">
      <c r="B5" s="42" t="s">
        <v>236</v>
      </c>
      <c r="K5" s="42" t="s">
        <v>236</v>
      </c>
    </row>
    <row r="6" spans="1:19" ht="15.75" thickBot="1">
      <c r="A6" s="321" t="s">
        <v>255</v>
      </c>
      <c r="B6" s="322"/>
      <c r="C6" s="322"/>
      <c r="D6" s="322"/>
      <c r="E6" s="322"/>
      <c r="F6" s="322"/>
      <c r="G6" s="322"/>
      <c r="H6" s="322"/>
      <c r="J6" s="321" t="s">
        <v>256</v>
      </c>
      <c r="K6" s="322"/>
      <c r="L6" s="322"/>
      <c r="M6" s="322"/>
      <c r="N6" s="322"/>
      <c r="O6" s="322"/>
      <c r="P6" s="322"/>
      <c r="Q6" s="322"/>
    </row>
    <row r="7" spans="1:19" ht="15.75" thickBot="1">
      <c r="F7" s="11" t="s">
        <v>121</v>
      </c>
      <c r="G7" s="12" t="s">
        <v>21</v>
      </c>
    </row>
    <row r="8" spans="1:19">
      <c r="A8" s="11" t="s">
        <v>120</v>
      </c>
      <c r="B8" s="109"/>
      <c r="C8" s="72"/>
      <c r="D8" s="4"/>
      <c r="F8" s="18"/>
      <c r="G8" s="65" t="s">
        <v>16</v>
      </c>
      <c r="K8" s="11" t="s">
        <v>128</v>
      </c>
      <c r="L8" s="72"/>
      <c r="M8" s="4"/>
    </row>
    <row r="9" spans="1:19">
      <c r="A9" s="5"/>
      <c r="B9" s="90" t="s">
        <v>21</v>
      </c>
      <c r="C9" s="6"/>
      <c r="D9" s="7"/>
      <c r="F9" s="5" t="s">
        <v>65</v>
      </c>
      <c r="G9" s="20">
        <f>G22+D32</f>
        <v>232108487.28797963</v>
      </c>
      <c r="K9" s="110" t="s">
        <v>123</v>
      </c>
      <c r="L9" s="302" t="s">
        <v>124</v>
      </c>
      <c r="M9" s="7">
        <f>Q20</f>
        <v>0.37844721204691145</v>
      </c>
    </row>
    <row r="10" spans="1:19" ht="15.75" thickBot="1">
      <c r="A10" s="5"/>
      <c r="B10" s="90" t="s">
        <v>13</v>
      </c>
      <c r="C10" s="90" t="s">
        <v>14</v>
      </c>
      <c r="D10" s="65" t="s">
        <v>16</v>
      </c>
      <c r="F10" s="5" t="s">
        <v>155</v>
      </c>
      <c r="G10" s="20">
        <f>G21+D13/2-E36/2</f>
        <v>10412976.954851434</v>
      </c>
      <c r="K10" s="107" t="s">
        <v>125</v>
      </c>
      <c r="L10" s="115"/>
      <c r="M10" s="102"/>
    </row>
    <row r="11" spans="1:19">
      <c r="A11" s="5" t="s">
        <v>11</v>
      </c>
      <c r="B11" s="19">
        <f>'Gasifier Material'!AA30</f>
        <v>0</v>
      </c>
      <c r="C11" s="19">
        <f>'Gasifier Material'!AB30</f>
        <v>1587.5055165746719</v>
      </c>
      <c r="D11" s="20">
        <f>'Gasifier Material'!AC30</f>
        <v>1587.5055165746719</v>
      </c>
      <c r="F11" s="5" t="s">
        <v>71</v>
      </c>
      <c r="G11" s="20">
        <f>E34</f>
        <v>58240066.346424945</v>
      </c>
      <c r="K11" s="94" t="s">
        <v>129</v>
      </c>
      <c r="L11" s="183" t="s">
        <v>127</v>
      </c>
      <c r="M11" s="103">
        <v>37</v>
      </c>
      <c r="N11" s="188" t="s">
        <v>260</v>
      </c>
      <c r="O11" s="188"/>
      <c r="P11" s="188"/>
    </row>
    <row r="12" spans="1:19" ht="15.75" thickBot="1">
      <c r="A12" s="5" t="s">
        <v>10</v>
      </c>
      <c r="B12" s="19">
        <f>'Gasifier Material'!AA31</f>
        <v>5779.9527093596071</v>
      </c>
      <c r="C12" s="19">
        <f>'Gasifier Material'!AB31</f>
        <v>98259.196059113296</v>
      </c>
      <c r="D12" s="20">
        <f>'Gasifier Material'!AC31</f>
        <v>104039.14876847291</v>
      </c>
      <c r="F12" s="5" t="s">
        <v>36</v>
      </c>
      <c r="G12" s="20">
        <f>D31</f>
        <v>38941672.94743102</v>
      </c>
      <c r="K12" s="107" t="s">
        <v>81</v>
      </c>
      <c r="L12" s="115"/>
      <c r="M12" s="102"/>
      <c r="N12" s="188" t="s">
        <v>261</v>
      </c>
      <c r="O12" s="188"/>
      <c r="P12" s="188"/>
    </row>
    <row r="13" spans="1:19">
      <c r="A13" s="153" t="s">
        <v>9</v>
      </c>
      <c r="B13" s="19">
        <f>'Gasifier Material'!AA32</f>
        <v>14677326.925918087</v>
      </c>
      <c r="C13" s="19">
        <f>'Gasifier Material'!AB32</f>
        <v>17336137.041690707</v>
      </c>
      <c r="D13" s="20">
        <f>'Gasifier Material'!AC32</f>
        <v>32013463.967608795</v>
      </c>
      <c r="F13" s="5" t="s">
        <v>163</v>
      </c>
      <c r="G13" s="20">
        <f>C33</f>
        <v>7860.735684729063</v>
      </c>
      <c r="K13" s="11" t="s">
        <v>137</v>
      </c>
      <c r="L13" s="72"/>
      <c r="M13" s="4" t="s">
        <v>16</v>
      </c>
    </row>
    <row r="14" spans="1:19" ht="15.75" thickBot="1">
      <c r="A14" s="5" t="s">
        <v>8</v>
      </c>
      <c r="B14" s="19">
        <f>'Gasifier Material'!AA33</f>
        <v>56822134.829826131</v>
      </c>
      <c r="C14" s="19">
        <f>'Gasifier Material'!AB33</f>
        <v>59657997.863023758</v>
      </c>
      <c r="D14" s="20">
        <f>'Gasifier Material'!AC33</f>
        <v>116480132.69284989</v>
      </c>
      <c r="F14" s="10" t="s">
        <v>140</v>
      </c>
      <c r="G14" s="29">
        <f>C35</f>
        <v>1587.5055165746719</v>
      </c>
      <c r="K14" s="111" t="s">
        <v>19</v>
      </c>
      <c r="L14" s="76"/>
      <c r="M14" s="29">
        <f>$M$11*'Gasifier Material'!H18</f>
        <v>113466383000</v>
      </c>
    </row>
    <row r="15" spans="1:19" ht="15.75" thickBot="1">
      <c r="A15" s="10" t="s">
        <v>7</v>
      </c>
      <c r="B15" s="19">
        <f>'Gasifier Material'!AA34</f>
        <v>19917877.472815983</v>
      </c>
      <c r="C15" s="19">
        <f>'Gasifier Material'!AB34</f>
        <v>19023795.474615037</v>
      </c>
      <c r="D15" s="20">
        <f>'Gasifier Material'!AC34</f>
        <v>38941672.94743102</v>
      </c>
      <c r="F15" s="87" t="s">
        <v>16</v>
      </c>
      <c r="G15" s="204">
        <f>SUM(G9:G14)</f>
        <v>339712651.77788836</v>
      </c>
      <c r="K15" s="87" t="s">
        <v>138</v>
      </c>
      <c r="L15" s="203"/>
      <c r="M15" s="74">
        <f>M14*M9*(I42-E40)</f>
        <v>13569367473137.475</v>
      </c>
      <c r="N15" s="188" t="s">
        <v>257</v>
      </c>
      <c r="O15" s="188"/>
      <c r="P15" s="188"/>
      <c r="Q15" s="188"/>
      <c r="S15" s="181"/>
    </row>
    <row r="16" spans="1:19" ht="15.75" thickBot="1">
      <c r="A16" s="11" t="s">
        <v>12</v>
      </c>
      <c r="B16" s="31" t="s">
        <v>19</v>
      </c>
      <c r="C16" s="17"/>
      <c r="D16" s="17"/>
      <c r="F16" s="111" t="s">
        <v>162</v>
      </c>
      <c r="G16" s="29">
        <f>SUM(G9:G12)</f>
        <v>339703203.53668702</v>
      </c>
      <c r="N16" s="188" t="s">
        <v>258</v>
      </c>
      <c r="O16" s="188"/>
      <c r="P16" s="188"/>
      <c r="Q16" s="188"/>
    </row>
    <row r="17" spans="1:19">
      <c r="A17" s="5"/>
      <c r="B17" s="149" t="s">
        <v>17</v>
      </c>
      <c r="C17" s="148" t="s">
        <v>18</v>
      </c>
      <c r="D17" s="148" t="s">
        <v>109</v>
      </c>
      <c r="I17" s="64"/>
    </row>
    <row r="18" spans="1:19" ht="15.75" thickBot="1">
      <c r="A18" s="5" t="s">
        <v>25</v>
      </c>
      <c r="B18" s="24">
        <f>'Gasifier Material'!AA37</f>
        <v>67794231.847330004</v>
      </c>
      <c r="C18" s="24">
        <f>'Gasifier Material'!AB37</f>
        <v>67794231.847330004</v>
      </c>
      <c r="D18" s="33">
        <f>'Gasifier Material'!AC37</f>
        <v>135588463.69466001</v>
      </c>
      <c r="F18" s="75" t="s">
        <v>225</v>
      </c>
      <c r="G18" s="75">
        <v>1.2</v>
      </c>
      <c r="J18" s="108" t="s">
        <v>259</v>
      </c>
    </row>
    <row r="19" spans="1:19" ht="15.75" thickBot="1">
      <c r="A19" s="5" t="s">
        <v>26</v>
      </c>
      <c r="B19" s="24">
        <f>'Gasifier Material'!AA38</f>
        <v>954344.28079999995</v>
      </c>
      <c r="C19" s="24">
        <f>'Gasifier Material'!AB38</f>
        <v>954344.28079999995</v>
      </c>
      <c r="D19" s="33">
        <f>'Gasifier Material'!AC38</f>
        <v>1908688.5615999999</v>
      </c>
      <c r="F19" s="11" t="s">
        <v>144</v>
      </c>
      <c r="G19" s="12" t="s">
        <v>21</v>
      </c>
      <c r="H19" s="182" t="s">
        <v>159</v>
      </c>
      <c r="I19" s="1" t="s">
        <v>153</v>
      </c>
      <c r="J19" s="195"/>
      <c r="K19" s="183" t="s">
        <v>202</v>
      </c>
      <c r="L19" s="183" t="s">
        <v>203</v>
      </c>
      <c r="M19" s="183" t="s">
        <v>7</v>
      </c>
      <c r="N19" s="183" t="s">
        <v>204</v>
      </c>
      <c r="O19" s="103" t="s">
        <v>205</v>
      </c>
      <c r="P19" s="73" t="s">
        <v>174</v>
      </c>
      <c r="Q19" s="275" t="s">
        <v>186</v>
      </c>
    </row>
    <row r="20" spans="1:19" ht="15.75" thickBot="1">
      <c r="A20" s="5" t="s">
        <v>27</v>
      </c>
      <c r="B20" s="24">
        <f>'Gasifier Material'!AA39</f>
        <v>441384.22986999998</v>
      </c>
      <c r="C20" s="24">
        <f>'Gasifier Material'!AB39</f>
        <v>441384.22986999998</v>
      </c>
      <c r="D20" s="33">
        <f>'Gasifier Material'!AC39</f>
        <v>882768.45973999996</v>
      </c>
      <c r="F20" s="5"/>
      <c r="G20" s="65" t="s">
        <v>16</v>
      </c>
      <c r="H20" s="184" t="s">
        <v>149</v>
      </c>
      <c r="I20" s="205" t="s">
        <v>154</v>
      </c>
      <c r="J20" s="85" t="s">
        <v>25</v>
      </c>
      <c r="K20" s="116">
        <v>4.8710000000000004</v>
      </c>
      <c r="L20" s="116">
        <v>5.3650000000000002</v>
      </c>
      <c r="M20" s="116">
        <v>0</v>
      </c>
      <c r="N20" s="116">
        <v>-1.0009999999999999</v>
      </c>
      <c r="O20" s="117">
        <f>8.314*(K20+L20*0.001*$I$46+M20*0.000001*$I$46^2+N20*100000*$I$46^-2)</f>
        <v>95.207086890022751</v>
      </c>
      <c r="P20" s="272">
        <f>O20/(60.0843)</f>
        <v>1.5845584768404184</v>
      </c>
      <c r="Q20" s="276">
        <f>P20/4.187</f>
        <v>0.37844721204691145</v>
      </c>
    </row>
    <row r="21" spans="1:19">
      <c r="A21" s="5" t="s">
        <v>28</v>
      </c>
      <c r="B21" s="24">
        <f>'Gasifier Material'!AA40</f>
        <v>5702207.0777799999</v>
      </c>
      <c r="C21" s="24">
        <f>'Gasifier Material'!AB40</f>
        <v>5702207.0777799999</v>
      </c>
      <c r="D21" s="33">
        <f>'Gasifier Material'!AC40</f>
        <v>11404414.15556</v>
      </c>
      <c r="F21" s="5" t="s">
        <v>155</v>
      </c>
      <c r="G21" s="20">
        <f>(E36/2-D13/2)*G18</f>
        <v>62477861.729108572</v>
      </c>
      <c r="H21" s="53">
        <v>0.22</v>
      </c>
      <c r="I21" s="162">
        <f>H21*G21*($I$42-$G$25)</f>
        <v>22267109920.254295</v>
      </c>
    </row>
    <row r="22" spans="1:19" ht="15.75" thickBot="1">
      <c r="A22" s="5" t="s">
        <v>29</v>
      </c>
      <c r="B22" s="24">
        <f>'Gasifier Material'!AA41</f>
        <v>13181880.378549999</v>
      </c>
      <c r="C22" s="24">
        <f>'Gasifier Material'!AB41</f>
        <v>13181880.378549999</v>
      </c>
      <c r="D22" s="33">
        <f>'Gasifier Material'!AC41</f>
        <v>26363760.757099997</v>
      </c>
      <c r="F22" s="10" t="s">
        <v>65</v>
      </c>
      <c r="G22" s="29">
        <f>G21/0.21*0.78</f>
        <v>232060629.27954614</v>
      </c>
      <c r="H22" s="53">
        <v>0.25</v>
      </c>
      <c r="I22" s="162">
        <f>H22*G22*($I$42-$G$25)</f>
        <v>93984554858.216187</v>
      </c>
    </row>
    <row r="23" spans="1:19" ht="15.75" thickBot="1">
      <c r="A23" s="5" t="s">
        <v>30</v>
      </c>
      <c r="B23" s="24">
        <f>'Gasifier Material'!AA42</f>
        <v>357879.1053</v>
      </c>
      <c r="C23" s="24">
        <f>'Gasifier Material'!AB42</f>
        <v>357879.1053</v>
      </c>
      <c r="D23" s="33">
        <f>'Gasifier Material'!AC42</f>
        <v>715758.21059999999</v>
      </c>
      <c r="F23" s="111" t="s">
        <v>16</v>
      </c>
      <c r="G23" s="29">
        <f>G22+G21</f>
        <v>294538491.00865471</v>
      </c>
      <c r="H23" s="215"/>
      <c r="I23" s="179">
        <f>I22+I21</f>
        <v>116251664778.47049</v>
      </c>
    </row>
    <row r="24" spans="1:19">
      <c r="A24" s="5" t="s">
        <v>31</v>
      </c>
      <c r="B24" s="24">
        <f>'Gasifier Material'!AA43</f>
        <v>10807948.98006</v>
      </c>
      <c r="C24" s="24">
        <f>'Gasifier Material'!AB43</f>
        <v>10807948.98006</v>
      </c>
      <c r="D24" s="33">
        <f>'Gasifier Material'!AC43</f>
        <v>21615897.96012</v>
      </c>
      <c r="F24" s="97" t="s">
        <v>156</v>
      </c>
      <c r="G24" s="214">
        <v>150</v>
      </c>
    </row>
    <row r="25" spans="1:19">
      <c r="A25" s="5" t="s">
        <v>32</v>
      </c>
      <c r="B25" s="24">
        <f>'Gasifier Material'!AA44</f>
        <v>6525329.0199699998</v>
      </c>
      <c r="C25" s="24">
        <f>'Gasifier Material'!AB44</f>
        <v>6525329.0199699998</v>
      </c>
      <c r="D25" s="33">
        <f>'Gasifier Material'!AC44</f>
        <v>13050658.03994</v>
      </c>
      <c r="F25" s="97" t="s">
        <v>157</v>
      </c>
      <c r="G25" s="214">
        <f>G24+459.67</f>
        <v>609.67000000000007</v>
      </c>
    </row>
    <row r="26" spans="1:19" ht="15.75" thickBot="1">
      <c r="A26" s="10" t="s">
        <v>119</v>
      </c>
      <c r="B26" s="30">
        <f>'Gasifier Material'!AA45</f>
        <v>12824001.273249999</v>
      </c>
      <c r="C26" s="30">
        <f>'Gasifier Material'!AB45</f>
        <v>12824001.273249999</v>
      </c>
      <c r="D26" s="147">
        <f>'Gasifier Material'!AC45</f>
        <v>25648002.546499997</v>
      </c>
      <c r="F26" s="185" t="s">
        <v>158</v>
      </c>
      <c r="G26" s="197">
        <v>23</v>
      </c>
    </row>
    <row r="27" spans="1:19">
      <c r="F27" s="187" t="s">
        <v>161</v>
      </c>
      <c r="G27" s="188"/>
      <c r="H27" s="188"/>
      <c r="S27" s="64"/>
    </row>
    <row r="28" spans="1:19" ht="15.75" thickBot="1"/>
    <row r="29" spans="1:19">
      <c r="A29" s="11" t="s">
        <v>160</v>
      </c>
      <c r="B29" s="3" t="s">
        <v>21</v>
      </c>
      <c r="C29" s="72"/>
      <c r="D29" s="36"/>
      <c r="E29" s="1" t="s">
        <v>263</v>
      </c>
      <c r="F29" s="182" t="s">
        <v>147</v>
      </c>
      <c r="G29" s="1" t="s">
        <v>264</v>
      </c>
      <c r="H29" s="44" t="s">
        <v>148</v>
      </c>
      <c r="I29" s="1" t="s">
        <v>153</v>
      </c>
    </row>
    <row r="30" spans="1:19">
      <c r="A30" s="5"/>
      <c r="B30" s="90" t="s">
        <v>13</v>
      </c>
      <c r="C30" s="90" t="s">
        <v>14</v>
      </c>
      <c r="D30" s="205" t="s">
        <v>16</v>
      </c>
      <c r="E30" s="205" t="s">
        <v>147</v>
      </c>
      <c r="F30" s="184" t="s">
        <v>141</v>
      </c>
      <c r="G30" s="205" t="s">
        <v>152</v>
      </c>
      <c r="H30" s="208" t="s">
        <v>149</v>
      </c>
      <c r="I30" s="205" t="s">
        <v>154</v>
      </c>
    </row>
    <row r="31" spans="1:19">
      <c r="A31" s="5" t="s">
        <v>36</v>
      </c>
      <c r="B31" s="19">
        <f>B15</f>
        <v>19917877.472815983</v>
      </c>
      <c r="C31" s="19">
        <f>C15</f>
        <v>19023795.474615037</v>
      </c>
      <c r="D31" s="162">
        <f>D15</f>
        <v>38941672.94743102</v>
      </c>
      <c r="E31" s="162">
        <f>D31*2</f>
        <v>77883345.894862041</v>
      </c>
      <c r="F31" s="53">
        <f>393.77*B37</f>
        <v>169290.77971</v>
      </c>
      <c r="G31" s="162">
        <f>F31*D31</f>
        <v>6592466176482.4111</v>
      </c>
      <c r="H31" s="45">
        <v>0.21</v>
      </c>
      <c r="I31" s="162">
        <f>H31*D31*($I$42-$E$40)</f>
        <v>2584169416.7915225</v>
      </c>
    </row>
    <row r="32" spans="1:19">
      <c r="A32" s="5" t="s">
        <v>65</v>
      </c>
      <c r="B32" s="19">
        <f>B12/2*69/75</f>
        <v>2658.7782463054191</v>
      </c>
      <c r="C32" s="19">
        <f>C12/2*69/75</f>
        <v>45199.230187192115</v>
      </c>
      <c r="D32" s="162">
        <f>D12/2*69/75</f>
        <v>47858.008433497533</v>
      </c>
      <c r="E32" s="162">
        <f>D32*0</f>
        <v>0</v>
      </c>
      <c r="F32" s="53"/>
      <c r="G32" s="207"/>
      <c r="H32" s="45">
        <v>0.25</v>
      </c>
      <c r="I32" s="162">
        <f>H32*D32*($I$42-$E$40)</f>
        <v>3780782.6662463052</v>
      </c>
    </row>
    <row r="33" spans="1:12">
      <c r="A33" s="5" t="s">
        <v>163</v>
      </c>
      <c r="B33" s="19">
        <f>B12*6/75</f>
        <v>462.39621674876855</v>
      </c>
      <c r="C33" s="19">
        <f>C12*6/75</f>
        <v>7860.735684729063</v>
      </c>
      <c r="D33" s="162">
        <f>D12*6/75</f>
        <v>8323.1319014778328</v>
      </c>
      <c r="E33" s="162">
        <f>D33*2</f>
        <v>16646.263802955666</v>
      </c>
      <c r="F33" s="53"/>
      <c r="G33" s="162"/>
      <c r="H33" s="45">
        <v>0.23</v>
      </c>
      <c r="I33" s="162">
        <f>H33*D33*($I$42-$E$40)</f>
        <v>604925.2265994089</v>
      </c>
    </row>
    <row r="34" spans="1:12">
      <c r="A34" s="5" t="s">
        <v>71</v>
      </c>
      <c r="B34" s="19">
        <f>B14/2</f>
        <v>28411067.414913066</v>
      </c>
      <c r="C34" s="19">
        <f>C14/2</f>
        <v>29828998.931511879</v>
      </c>
      <c r="D34" s="162">
        <f>D14/2</f>
        <v>58240066.346424945</v>
      </c>
      <c r="E34" s="162">
        <f>D34</f>
        <v>58240066.346424945</v>
      </c>
      <c r="F34" s="53">
        <f>285.84*B37</f>
        <v>122889.19031999999</v>
      </c>
      <c r="G34" s="162">
        <f>F34*D34</f>
        <v>7157074597495.2422</v>
      </c>
      <c r="H34" s="45">
        <v>0.47</v>
      </c>
      <c r="I34" s="162">
        <f>H34*D34*($I$42-$E$40)</f>
        <v>8649814653.7710323</v>
      </c>
    </row>
    <row r="35" spans="1:12" ht="15.75" thickBot="1">
      <c r="A35" s="10" t="s">
        <v>140</v>
      </c>
      <c r="B35" s="76">
        <f>B11</f>
        <v>0</v>
      </c>
      <c r="C35" s="76">
        <f>C11</f>
        <v>1587.5055165746719</v>
      </c>
      <c r="D35" s="70">
        <f>D11</f>
        <v>1587.5055165746719</v>
      </c>
      <c r="E35" s="70">
        <f>D35*2</f>
        <v>3175.0110331493438</v>
      </c>
      <c r="F35" s="53">
        <f>296*B37</f>
        <v>127257.208</v>
      </c>
      <c r="G35" s="162">
        <f>F35*D35</f>
        <v>202021519.72389045</v>
      </c>
      <c r="H35" s="45">
        <v>0.15</v>
      </c>
      <c r="I35" s="162">
        <f>H35*D35*($I$42-$E$40)</f>
        <v>75247.761485639436</v>
      </c>
    </row>
    <row r="36" spans="1:12" ht="15.75" thickBot="1">
      <c r="A36" s="10" t="s">
        <v>16</v>
      </c>
      <c r="B36" s="76">
        <f>SUM(B31:B35)</f>
        <v>48332066.062192105</v>
      </c>
      <c r="C36" s="76">
        <f>SUM(C31:C35)</f>
        <v>48907441.877515413</v>
      </c>
      <c r="D36" s="70">
        <f t="shared" ref="D36:E36" si="0">SUM(D31:D35)</f>
        <v>97239507.939707518</v>
      </c>
      <c r="E36" s="70">
        <f t="shared" si="0"/>
        <v>136143233.51612309</v>
      </c>
      <c r="F36" s="194"/>
      <c r="G36" s="179">
        <f t="shared" ref="G36" si="1">SUM(G31:G35)</f>
        <v>13749742795497.377</v>
      </c>
      <c r="H36" s="211"/>
      <c r="I36" s="179">
        <f t="shared" ref="I36" si="2">SUM(I31:I35)</f>
        <v>11238445026.216887</v>
      </c>
    </row>
    <row r="37" spans="1:12" ht="15.75" thickBot="1">
      <c r="A37" s="85" t="s">
        <v>146</v>
      </c>
      <c r="B37" s="116">
        <v>429.923</v>
      </c>
      <c r="C37" s="117" t="s">
        <v>141</v>
      </c>
      <c r="E37" s="188" t="s">
        <v>265</v>
      </c>
      <c r="H37" s="42" t="s">
        <v>151</v>
      </c>
    </row>
    <row r="38" spans="1:12" ht="15.75" thickBot="1"/>
    <row r="39" spans="1:12">
      <c r="D39" s="195" t="s">
        <v>262</v>
      </c>
      <c r="E39" s="103"/>
      <c r="G39" s="94" t="s">
        <v>130</v>
      </c>
      <c r="H39" s="183"/>
      <c r="I39" s="103"/>
    </row>
    <row r="40" spans="1:12" ht="15.75" thickBot="1">
      <c r="D40" s="185"/>
      <c r="E40" s="197">
        <f>'Gasifier Material'!R37</f>
        <v>1913.67</v>
      </c>
      <c r="G40" s="97" t="s">
        <v>134</v>
      </c>
      <c r="H40" s="53"/>
      <c r="I40" s="104">
        <f>(I41-32)*5/9</f>
        <v>965.55555555555554</v>
      </c>
    </row>
    <row r="41" spans="1:12">
      <c r="G41" s="97" t="s">
        <v>133</v>
      </c>
      <c r="H41" s="53"/>
      <c r="I41" s="104">
        <f>Energy!AD21</f>
        <v>1770</v>
      </c>
    </row>
    <row r="42" spans="1:12">
      <c r="A42" s="187" t="s">
        <v>145</v>
      </c>
      <c r="B42" s="188"/>
      <c r="C42" s="188"/>
      <c r="G42" s="97" t="s">
        <v>132</v>
      </c>
      <c r="H42" s="53"/>
      <c r="I42" s="104">
        <f>I41+459.67</f>
        <v>2229.67</v>
      </c>
    </row>
    <row r="43" spans="1:12">
      <c r="A43" s="187" t="s">
        <v>143</v>
      </c>
      <c r="B43" s="188"/>
      <c r="C43" s="188"/>
      <c r="G43" s="134" t="s">
        <v>135</v>
      </c>
      <c r="H43" s="59"/>
      <c r="I43" s="126"/>
    </row>
    <row r="44" spans="1:12">
      <c r="A44" s="187" t="s">
        <v>254</v>
      </c>
      <c r="B44" s="188"/>
      <c r="C44" s="188"/>
      <c r="G44" s="97" t="s">
        <v>131</v>
      </c>
      <c r="H44" s="53"/>
      <c r="I44" s="104">
        <v>23</v>
      </c>
    </row>
    <row r="45" spans="1:12" ht="15.75" thickBot="1">
      <c r="A45" s="187" t="s">
        <v>142</v>
      </c>
      <c r="B45" s="188"/>
      <c r="C45" s="188"/>
      <c r="G45" s="134"/>
      <c r="H45" s="59"/>
      <c r="I45" s="126"/>
    </row>
    <row r="46" spans="1:12" ht="15.75" thickBot="1">
      <c r="G46" s="85" t="s">
        <v>216</v>
      </c>
      <c r="H46" s="116"/>
      <c r="I46" s="117">
        <f>I40+273.15</f>
        <v>1238.7055555555555</v>
      </c>
      <c r="L46" s="64"/>
    </row>
    <row r="47" spans="1:12">
      <c r="L47" s="64"/>
    </row>
    <row r="48" spans="1:12">
      <c r="L48" s="64"/>
    </row>
    <row r="49" spans="3:12">
      <c r="L49" s="64"/>
    </row>
    <row r="50" spans="3:12">
      <c r="L50" s="64"/>
    </row>
    <row r="51" spans="3:12">
      <c r="K51" s="108"/>
      <c r="L51" s="64"/>
    </row>
    <row r="58" spans="3:12">
      <c r="C58" s="212"/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71"/>
  <sheetViews>
    <sheetView topLeftCell="A31" workbookViewId="0">
      <selection activeCell="D71" sqref="D71"/>
    </sheetView>
  </sheetViews>
  <sheetFormatPr defaultRowHeight="15"/>
  <cols>
    <col min="2" max="2" width="11.42578125" customWidth="1"/>
    <col min="3" max="3" width="12.7109375" customWidth="1"/>
    <col min="6" max="6" width="10" bestFit="1" customWidth="1"/>
    <col min="7" max="7" width="9.28515625" bestFit="1" customWidth="1"/>
    <col min="9" max="10" width="9.28515625" bestFit="1" customWidth="1"/>
    <col min="13" max="14" width="9.28515625" bestFit="1" customWidth="1"/>
    <col min="15" max="15" width="11.28515625" bestFit="1" customWidth="1"/>
    <col min="16" max="16" width="9.28515625" bestFit="1" customWidth="1"/>
    <col min="18" max="18" width="12" bestFit="1" customWidth="1"/>
    <col min="19" max="20" width="9.28515625" bestFit="1" customWidth="1"/>
    <col min="24" max="24" width="9.28515625" bestFit="1" customWidth="1"/>
    <col min="25" max="25" width="12" bestFit="1" customWidth="1"/>
    <col min="26" max="26" width="12.7109375" bestFit="1" customWidth="1"/>
    <col min="28" max="28" width="12.7109375" bestFit="1" customWidth="1"/>
    <col min="29" max="29" width="10.28515625" bestFit="1" customWidth="1"/>
    <col min="30" max="30" width="9.28515625" bestFit="1" customWidth="1"/>
    <col min="31" max="31" width="12" bestFit="1" customWidth="1"/>
    <col min="32" max="32" width="10.28515625" bestFit="1" customWidth="1"/>
  </cols>
  <sheetData>
    <row r="1" spans="1:35">
      <c r="A1" s="108" t="s">
        <v>233</v>
      </c>
      <c r="J1" s="108" t="s">
        <v>233</v>
      </c>
      <c r="S1" s="108" t="s">
        <v>233</v>
      </c>
      <c r="AB1" s="108" t="s">
        <v>233</v>
      </c>
    </row>
    <row r="2" spans="1:35">
      <c r="A2" s="108" t="s">
        <v>234</v>
      </c>
      <c r="J2" s="108" t="s">
        <v>234</v>
      </c>
      <c r="S2" s="108" t="s">
        <v>234</v>
      </c>
      <c r="AB2" s="108" t="s">
        <v>234</v>
      </c>
    </row>
    <row r="3" spans="1:35">
      <c r="A3" s="108" t="s">
        <v>235</v>
      </c>
      <c r="B3" s="43" t="s">
        <v>55</v>
      </c>
      <c r="J3" s="108" t="s">
        <v>235</v>
      </c>
      <c r="K3" s="43" t="s">
        <v>55</v>
      </c>
      <c r="S3" s="108" t="s">
        <v>235</v>
      </c>
      <c r="T3" s="43" t="s">
        <v>55</v>
      </c>
      <c r="AB3" s="108" t="s">
        <v>235</v>
      </c>
      <c r="AC3" s="43" t="s">
        <v>55</v>
      </c>
    </row>
    <row r="4" spans="1:35">
      <c r="B4" s="15" t="s">
        <v>56</v>
      </c>
      <c r="K4" s="15" t="s">
        <v>56</v>
      </c>
      <c r="T4" s="15" t="s">
        <v>56</v>
      </c>
      <c r="AC4" s="15" t="s">
        <v>56</v>
      </c>
    </row>
    <row r="5" spans="1:35">
      <c r="B5" s="42" t="s">
        <v>236</v>
      </c>
      <c r="K5" s="42" t="s">
        <v>236</v>
      </c>
      <c r="T5" s="42" t="s">
        <v>236</v>
      </c>
      <c r="AC5" s="42" t="s">
        <v>236</v>
      </c>
    </row>
    <row r="6" spans="1:35" ht="15.75" thickBot="1">
      <c r="A6" s="321" t="s">
        <v>266</v>
      </c>
      <c r="B6" s="322"/>
      <c r="C6" s="322"/>
      <c r="D6" s="322"/>
      <c r="E6" s="322"/>
      <c r="F6" s="322"/>
      <c r="G6" s="322"/>
      <c r="H6" s="322"/>
      <c r="J6" s="321" t="s">
        <v>267</v>
      </c>
      <c r="K6" s="322"/>
      <c r="L6" s="322"/>
      <c r="M6" s="322"/>
      <c r="N6" s="322"/>
      <c r="O6" s="322"/>
      <c r="P6" s="322"/>
      <c r="Q6" s="322"/>
      <c r="S6" s="321" t="s">
        <v>268</v>
      </c>
      <c r="T6" s="322"/>
      <c r="U6" s="322"/>
      <c r="V6" s="322"/>
      <c r="W6" s="322"/>
      <c r="X6" s="322"/>
      <c r="Y6" s="322"/>
      <c r="Z6" s="322"/>
      <c r="AB6" s="321" t="s">
        <v>270</v>
      </c>
      <c r="AC6" s="322"/>
      <c r="AD6" s="322"/>
      <c r="AE6" s="322"/>
      <c r="AF6" s="322"/>
      <c r="AG6" s="322"/>
      <c r="AH6" s="322"/>
      <c r="AI6" s="322"/>
    </row>
    <row r="7" spans="1:35" ht="15.75" thickBot="1">
      <c r="A7" s="94" t="s">
        <v>110</v>
      </c>
      <c r="B7" s="183"/>
      <c r="C7" s="103"/>
    </row>
    <row r="8" spans="1:35" ht="15.75" thickBot="1">
      <c r="A8" s="97" t="s">
        <v>182</v>
      </c>
      <c r="B8" s="53"/>
      <c r="C8" s="104">
        <f>AD20</f>
        <v>220</v>
      </c>
      <c r="J8" s="11" t="s">
        <v>169</v>
      </c>
      <c r="K8" s="3"/>
      <c r="L8" s="12"/>
      <c r="M8" s="94" t="s">
        <v>180</v>
      </c>
      <c r="N8" s="11" t="s">
        <v>180</v>
      </c>
      <c r="O8" s="4"/>
      <c r="P8" s="189" t="s">
        <v>172</v>
      </c>
      <c r="Q8" s="72" t="s">
        <v>172</v>
      </c>
      <c r="R8" s="189" t="s">
        <v>207</v>
      </c>
      <c r="S8" s="72" t="s">
        <v>214</v>
      </c>
      <c r="T8" s="275">
        <f>T9/2</f>
        <v>727</v>
      </c>
      <c r="U8" s="73" t="s">
        <v>216</v>
      </c>
      <c r="V8" s="275">
        <f>(T8-32)*5/9+273.15</f>
        <v>659.26111111111106</v>
      </c>
    </row>
    <row r="9" spans="1:35" ht="15.75" thickBot="1">
      <c r="A9" s="97" t="s">
        <v>131</v>
      </c>
      <c r="B9" s="53"/>
      <c r="C9" s="104">
        <v>23</v>
      </c>
      <c r="G9" s="195" t="s">
        <v>184</v>
      </c>
      <c r="H9" s="103"/>
      <c r="J9" s="5"/>
      <c r="K9" s="90" t="s">
        <v>21</v>
      </c>
      <c r="L9" s="65" t="s">
        <v>19</v>
      </c>
      <c r="M9" s="53" t="s">
        <v>141</v>
      </c>
      <c r="N9" s="110" t="s">
        <v>154</v>
      </c>
      <c r="O9" s="65" t="s">
        <v>175</v>
      </c>
      <c r="P9" s="10" t="s">
        <v>174</v>
      </c>
      <c r="Q9" s="272" t="s">
        <v>186</v>
      </c>
      <c r="R9" s="10" t="s">
        <v>154</v>
      </c>
      <c r="S9" s="203" t="s">
        <v>213</v>
      </c>
      <c r="T9" s="275">
        <f>'Gasifier Material'!R35</f>
        <v>1454</v>
      </c>
      <c r="U9" s="73" t="s">
        <v>206</v>
      </c>
      <c r="V9" s="275">
        <f>(T9-32)*5/9+273.15</f>
        <v>1063.1500000000001</v>
      </c>
      <c r="W9" s="73" t="s">
        <v>226</v>
      </c>
      <c r="X9" s="275">
        <f>(H10-32)*5/9</f>
        <v>25</v>
      </c>
      <c r="AB9" s="11" t="s">
        <v>170</v>
      </c>
      <c r="AC9" s="3"/>
      <c r="AD9" s="4"/>
      <c r="AE9" s="44" t="s">
        <v>172</v>
      </c>
      <c r="AF9" s="1" t="s">
        <v>181</v>
      </c>
    </row>
    <row r="10" spans="1:35" ht="15.75" thickBot="1">
      <c r="A10" s="185" t="s">
        <v>183</v>
      </c>
      <c r="B10" s="196"/>
      <c r="C10" s="197">
        <f>'Gasifier Material'!R35</f>
        <v>1454</v>
      </c>
      <c r="G10" s="97" t="s">
        <v>156</v>
      </c>
      <c r="H10" s="104">
        <f>25*9/5+32</f>
        <v>77</v>
      </c>
      <c r="J10" s="10" t="s">
        <v>71</v>
      </c>
      <c r="K10" s="76">
        <f>'Gasifier Material'!M41</f>
        <v>68087455.595026657</v>
      </c>
      <c r="L10" s="29">
        <f>'Gasifier Material'!M40</f>
        <v>1226663600</v>
      </c>
      <c r="M10" s="196">
        <f>K15*0.0009478*1000*453.6</f>
        <v>-103968.05660640002</v>
      </c>
      <c r="N10" s="28">
        <f>M10*K10</f>
        <v>-7078920437489.4785</v>
      </c>
      <c r="O10" s="29">
        <f>N10/L10</f>
        <v>-5770.8734794849042</v>
      </c>
      <c r="P10" s="10">
        <f>R17/(H14*2+H15)</f>
        <v>1.9299204628776923</v>
      </c>
      <c r="Q10" s="272">
        <f t="shared" ref="Q10" si="0">P10/4.187</f>
        <v>0.46093156505318655</v>
      </c>
      <c r="R10" s="28">
        <f>Q10*L10*(K11-H10)</f>
        <v>352249167142.7265</v>
      </c>
      <c r="S10" s="3" t="s">
        <v>46</v>
      </c>
      <c r="T10" s="1" t="s">
        <v>21</v>
      </c>
      <c r="U10" s="12" t="s">
        <v>19</v>
      </c>
      <c r="V10" s="94" t="s">
        <v>180</v>
      </c>
      <c r="W10" s="1" t="s">
        <v>180</v>
      </c>
      <c r="X10" s="189" t="s">
        <v>172</v>
      </c>
      <c r="Y10" s="72" t="s">
        <v>172</v>
      </c>
      <c r="Z10" s="36" t="s">
        <v>207</v>
      </c>
      <c r="AB10" s="5"/>
      <c r="AC10" s="90" t="s">
        <v>21</v>
      </c>
      <c r="AD10" s="65" t="s">
        <v>19</v>
      </c>
      <c r="AE10" s="208" t="s">
        <v>186</v>
      </c>
      <c r="AF10" s="205" t="s">
        <v>154</v>
      </c>
    </row>
    <row r="11" spans="1:35" ht="15.75" thickBot="1">
      <c r="A11" s="11" t="s">
        <v>171</v>
      </c>
      <c r="B11" s="36"/>
      <c r="C11" s="44" t="s">
        <v>42</v>
      </c>
      <c r="D11" s="12" t="s">
        <v>178</v>
      </c>
      <c r="F11" s="64"/>
      <c r="G11" s="185" t="s">
        <v>185</v>
      </c>
      <c r="H11" s="273">
        <v>14.7</v>
      </c>
      <c r="J11" s="85" t="s">
        <v>156</v>
      </c>
      <c r="K11" s="117">
        <f>AD23</f>
        <v>700</v>
      </c>
      <c r="L11" s="73" t="s">
        <v>215</v>
      </c>
      <c r="M11" s="275">
        <f>(K11-F16)/2+F16</f>
        <v>350</v>
      </c>
      <c r="N11" s="73" t="s">
        <v>218</v>
      </c>
      <c r="O11" s="275">
        <f>(M11-32)*5/9+273.15</f>
        <v>449.81666666666661</v>
      </c>
      <c r="S11" s="272"/>
      <c r="T11" s="178" t="s">
        <v>16</v>
      </c>
      <c r="U11" s="278" t="s">
        <v>109</v>
      </c>
      <c r="V11" s="196" t="s">
        <v>141</v>
      </c>
      <c r="W11" s="2" t="s">
        <v>154</v>
      </c>
      <c r="X11" s="10" t="s">
        <v>174</v>
      </c>
      <c r="Y11" s="272" t="s">
        <v>186</v>
      </c>
      <c r="Z11" s="2" t="s">
        <v>154</v>
      </c>
      <c r="AB11" s="5" t="s">
        <v>155</v>
      </c>
      <c r="AC11" s="19">
        <f>Combuster!G21</f>
        <v>62477861.729108572</v>
      </c>
      <c r="AD11" s="19">
        <f>AC11*'Gasifier Material'!F31*2</f>
        <v>1999291575.3314743</v>
      </c>
      <c r="AE11" s="66"/>
      <c r="AF11" s="17"/>
    </row>
    <row r="12" spans="1:35" ht="15.75" thickBot="1">
      <c r="A12" s="110" t="s">
        <v>176</v>
      </c>
      <c r="B12" s="178" t="s">
        <v>19</v>
      </c>
      <c r="C12" s="271" t="s">
        <v>175</v>
      </c>
      <c r="D12" s="65" t="s">
        <v>154</v>
      </c>
      <c r="F12" s="64"/>
      <c r="G12" s="38"/>
      <c r="H12" s="57" t="s">
        <v>47</v>
      </c>
      <c r="J12" s="188" t="s">
        <v>191</v>
      </c>
      <c r="K12" s="188"/>
      <c r="L12" s="188"/>
      <c r="S12" s="6" t="s">
        <v>36</v>
      </c>
      <c r="T12" s="162">
        <f>Summary!B10</f>
        <v>10882291.625566602</v>
      </c>
      <c r="U12" s="20">
        <f>Summary!D10</f>
        <v>478929654.44118613</v>
      </c>
      <c r="V12" s="53">
        <v>-169300</v>
      </c>
      <c r="W12" s="162">
        <f>V12*T12</f>
        <v>-1842371972208.4258</v>
      </c>
      <c r="X12" s="5">
        <f>Y31/(H13+H15*2)</f>
        <v>1.110747659173261</v>
      </c>
      <c r="Y12" s="6">
        <f>X12/4.187</f>
        <v>0.26528484814264652</v>
      </c>
      <c r="Z12" s="162">
        <f>Y12*U12*($T$9-$H$10)</f>
        <v>174951678954.27921</v>
      </c>
      <c r="AB12" s="5" t="s">
        <v>65</v>
      </c>
      <c r="AC12" s="19">
        <f>Combuster!G22</f>
        <v>232060629.27954614</v>
      </c>
      <c r="AD12" s="19">
        <f>AC12*'Gasifier Material'!F32*2</f>
        <v>6500946468.6372051</v>
      </c>
      <c r="AE12" s="45"/>
      <c r="AF12" s="7"/>
    </row>
    <row r="13" spans="1:35" ht="15.75" thickBot="1">
      <c r="A13" s="269" t="s">
        <v>7</v>
      </c>
      <c r="B13" s="71">
        <f>'Gasifier Material'!H12</f>
        <v>1496222926.0999999</v>
      </c>
      <c r="C13" s="66">
        <v>14100</v>
      </c>
      <c r="D13" s="17">
        <f>C13*B13</f>
        <v>21096743258010</v>
      </c>
      <c r="F13" s="64"/>
      <c r="G13" s="52" t="s">
        <v>7</v>
      </c>
      <c r="H13" s="54">
        <v>12.01</v>
      </c>
      <c r="J13" s="188" t="s">
        <v>192</v>
      </c>
      <c r="K13" s="188"/>
      <c r="L13" s="188"/>
      <c r="S13" s="6" t="s">
        <v>37</v>
      </c>
      <c r="T13" s="162">
        <f>Summary!B11</f>
        <v>39604405.588127628</v>
      </c>
      <c r="U13" s="20">
        <f>Summary!D11</f>
        <v>1109319400.5234547</v>
      </c>
      <c r="V13" s="53">
        <v>-47540</v>
      </c>
      <c r="W13" s="162">
        <f t="shared" ref="W13:W24" si="1">V13*T13</f>
        <v>-1882793441659.5874</v>
      </c>
      <c r="X13" s="5">
        <f>Y32/(H13+H15)</f>
        <v>1.1089516127657233</v>
      </c>
      <c r="Y13" s="6">
        <f t="shared" ref="Y13:Y25" si="2">X13/4.187</f>
        <v>0.2648558903190168</v>
      </c>
      <c r="Z13" s="162">
        <f>Y13*U13*($T$9-$H$10)</f>
        <v>404576063581.41925</v>
      </c>
      <c r="AB13" s="73" t="s">
        <v>16</v>
      </c>
      <c r="AC13" s="74">
        <f>AC12+AC11</f>
        <v>294538491.00865471</v>
      </c>
      <c r="AD13" s="74">
        <f>AD12+AD11</f>
        <v>8500238043.9686794</v>
      </c>
      <c r="AE13" s="277">
        <f>1.0035/4.187</f>
        <v>0.23967040840697396</v>
      </c>
      <c r="AF13" s="275">
        <f>AE13*AD13*(AC14-H10)</f>
        <v>861759086463.54114</v>
      </c>
    </row>
    <row r="14" spans="1:35" ht="15.75" thickBot="1">
      <c r="A14" s="18" t="s">
        <v>8</v>
      </c>
      <c r="B14" s="162">
        <f>'Gasifier Material'!H13</f>
        <v>197032840.75</v>
      </c>
      <c r="C14" s="45">
        <v>61000</v>
      </c>
      <c r="D14" s="20">
        <f>C14*B14</f>
        <v>12019003285750</v>
      </c>
      <c r="F14" s="64"/>
      <c r="G14" s="52" t="s">
        <v>8</v>
      </c>
      <c r="H14" s="54">
        <v>1.008</v>
      </c>
      <c r="J14" s="59" t="s">
        <v>193</v>
      </c>
      <c r="K14" s="188"/>
      <c r="L14" s="188"/>
      <c r="S14" s="6" t="s">
        <v>38</v>
      </c>
      <c r="T14" s="162">
        <f>Summary!B12</f>
        <v>19623804.570693873</v>
      </c>
      <c r="U14" s="20">
        <f>Summary!D12</f>
        <v>39557665.25360471</v>
      </c>
      <c r="V14" s="53">
        <v>0</v>
      </c>
      <c r="W14" s="162">
        <f t="shared" si="1"/>
        <v>0</v>
      </c>
      <c r="X14" s="5">
        <f>Y33/(H14*2)</f>
        <v>14.624990386672696</v>
      </c>
      <c r="Y14" s="6">
        <f t="shared" si="2"/>
        <v>3.4929520866187471</v>
      </c>
      <c r="Z14" s="162">
        <f>Y14*U14*($T$9-$H$10)</f>
        <v>190264261469.12735</v>
      </c>
      <c r="AB14" s="185" t="s">
        <v>156</v>
      </c>
      <c r="AC14" s="197">
        <f>AD22</f>
        <v>500</v>
      </c>
    </row>
    <row r="15" spans="1:35" ht="15.75" thickBot="1">
      <c r="A15" s="18" t="s">
        <v>9</v>
      </c>
      <c r="B15" s="162">
        <f>'Gasifier Material'!H14</f>
        <v>1111970553.4000001</v>
      </c>
      <c r="C15" s="45"/>
      <c r="D15" s="20"/>
      <c r="F15" s="64"/>
      <c r="G15" s="52" t="s">
        <v>9</v>
      </c>
      <c r="H15" s="54">
        <v>16</v>
      </c>
      <c r="J15" s="59" t="s">
        <v>195</v>
      </c>
      <c r="K15" s="188">
        <v>-241.83</v>
      </c>
      <c r="L15" s="188" t="s">
        <v>194</v>
      </c>
      <c r="N15" s="183" t="s">
        <v>208</v>
      </c>
      <c r="O15" s="183"/>
      <c r="P15" s="183"/>
      <c r="Q15" s="183"/>
      <c r="R15" s="183" t="s">
        <v>172</v>
      </c>
      <c r="S15" s="6" t="s">
        <v>39</v>
      </c>
      <c r="T15" s="162">
        <f>Summary!B13</f>
        <v>13915061.422855653</v>
      </c>
      <c r="U15" s="20">
        <f>Summary!D13</f>
        <v>223219849.32088122</v>
      </c>
      <c r="V15" s="53">
        <v>-32210</v>
      </c>
      <c r="W15" s="162">
        <f t="shared" si="1"/>
        <v>-448204128430.1806</v>
      </c>
      <c r="X15" s="5">
        <f>Y34/(H13+4*H14)</f>
        <v>3.4973638556717321</v>
      </c>
      <c r="Y15" s="6">
        <f t="shared" si="2"/>
        <v>0.8352911047699384</v>
      </c>
      <c r="Z15" s="162">
        <f>Y15*U15*($T$9-$H$10)</f>
        <v>256746544609.59146</v>
      </c>
      <c r="AB15" s="187" t="s">
        <v>197</v>
      </c>
      <c r="AC15" s="188"/>
      <c r="AD15" s="188"/>
    </row>
    <row r="16" spans="1:35" ht="15.75" thickBot="1">
      <c r="A16" s="18" t="s">
        <v>10</v>
      </c>
      <c r="B16" s="162">
        <f>'Gasifier Material'!H15</f>
        <v>22079944.800000001</v>
      </c>
      <c r="C16" s="45"/>
      <c r="D16" s="20"/>
      <c r="F16" s="64"/>
      <c r="G16" s="52" t="s">
        <v>10</v>
      </c>
      <c r="H16" s="54">
        <v>14.007</v>
      </c>
      <c r="J16" s="112" t="s">
        <v>200</v>
      </c>
      <c r="K16" s="114"/>
      <c r="N16" s="196" t="s">
        <v>202</v>
      </c>
      <c r="O16" s="196" t="s">
        <v>203</v>
      </c>
      <c r="P16" s="196" t="s">
        <v>7</v>
      </c>
      <c r="Q16" s="196" t="s">
        <v>204</v>
      </c>
      <c r="R16" s="196" t="s">
        <v>205</v>
      </c>
      <c r="S16" s="6" t="s">
        <v>40</v>
      </c>
      <c r="T16" s="162">
        <f>Summary!B14</f>
        <v>4549154.6959335785</v>
      </c>
      <c r="U16" s="20">
        <f>Summary!D14</f>
        <v>127611067.86845037</v>
      </c>
      <c r="V16" s="53">
        <v>22490</v>
      </c>
      <c r="W16" s="162">
        <f t="shared" si="1"/>
        <v>102310489111.54619</v>
      </c>
      <c r="X16" s="5">
        <f>Y35/(H13*2+H14*4)</f>
        <v>2.6687461347771673</v>
      </c>
      <c r="Y16" s="6">
        <f t="shared" si="2"/>
        <v>0.63738861590092355</v>
      </c>
      <c r="Z16" s="162">
        <f>Y16*U16*($T$9-$H$10)</f>
        <v>112002208327.02142</v>
      </c>
      <c r="AB16" s="112" t="s">
        <v>198</v>
      </c>
      <c r="AC16" s="114"/>
    </row>
    <row r="17" spans="1:35" ht="15.75" thickBot="1">
      <c r="A17" s="18" t="s">
        <v>11</v>
      </c>
      <c r="B17" s="162">
        <f>'Gasifier Material'!H16</f>
        <v>613331.80000000005</v>
      </c>
      <c r="C17" s="45">
        <f>9.163*61000/141.8</f>
        <v>3941.7700987306062</v>
      </c>
      <c r="D17" s="20">
        <f>C17*B17</f>
        <v>2417612949.8406205</v>
      </c>
      <c r="F17" s="64"/>
      <c r="G17" s="40" t="s">
        <v>11</v>
      </c>
      <c r="H17" s="41">
        <v>32.067</v>
      </c>
      <c r="J17" s="274" t="s">
        <v>154</v>
      </c>
      <c r="K17" s="237">
        <f>N10+R10</f>
        <v>-6726671270346.752</v>
      </c>
      <c r="N17" s="196">
        <v>3.47</v>
      </c>
      <c r="O17" s="196">
        <v>1.45</v>
      </c>
      <c r="P17" s="196"/>
      <c r="Q17" s="196">
        <v>0.121</v>
      </c>
      <c r="R17" s="196">
        <f>8.314*(N17+O17*0.001*$O$11+P17*0.000001*$O$11^2+Q17*100000*$O$11^-2)</f>
        <v>34.769447059204502</v>
      </c>
      <c r="S17" s="6" t="s">
        <v>41</v>
      </c>
      <c r="T17" s="162">
        <f>Summary!B15</f>
        <v>624393.78179480496</v>
      </c>
      <c r="U17" s="20">
        <f>Summary!D15</f>
        <v>18773897.59473712</v>
      </c>
      <c r="V17" s="53">
        <v>-36420</v>
      </c>
      <c r="W17" s="162">
        <f t="shared" si="1"/>
        <v>-22740421532.966797</v>
      </c>
      <c r="X17" s="5">
        <f>Y36/(H13*2+H14*6)</f>
        <v>3.148952123937812</v>
      </c>
      <c r="Y17" s="6">
        <f t="shared" si="2"/>
        <v>0.75207836731258937</v>
      </c>
      <c r="Z17" s="162">
        <f>Y17*U17*($T$9-$H$10)</f>
        <v>19442471979.824795</v>
      </c>
      <c r="AB17" s="274" t="s">
        <v>154</v>
      </c>
      <c r="AC17" s="237">
        <f>AF13</f>
        <v>861759086463.54114</v>
      </c>
    </row>
    <row r="18" spans="1:35" ht="15.75" thickBot="1">
      <c r="A18" s="18" t="s">
        <v>12</v>
      </c>
      <c r="B18" s="162">
        <f>'Gasifier Material'!H17</f>
        <v>238586070.19999999</v>
      </c>
      <c r="C18" s="45"/>
      <c r="D18" s="20"/>
      <c r="G18" s="52" t="s">
        <v>24</v>
      </c>
      <c r="H18" s="54">
        <v>35.453000000000003</v>
      </c>
      <c r="S18" s="6" t="s">
        <v>59</v>
      </c>
      <c r="T18" s="162">
        <f>Summary!B16</f>
        <v>15785.160275049118</v>
      </c>
      <c r="U18" s="20">
        <f>Summary!D16</f>
        <v>537970.89030189393</v>
      </c>
      <c r="V18" s="53">
        <f>-20.63*1000*0.4299/0.2388</f>
        <v>-37139.18341708542</v>
      </c>
      <c r="W18" s="162">
        <f t="shared" si="1"/>
        <v>-586247962.72313976</v>
      </c>
      <c r="X18" s="5">
        <f>Y37/(H14*2+H17)</f>
        <v>1.1854993002077046</v>
      </c>
      <c r="Y18" s="6">
        <f t="shared" si="2"/>
        <v>0.28313811803384392</v>
      </c>
      <c r="Z18" s="162">
        <f>Y18*U18*($T$9-$H$10)</f>
        <v>209744730.10684505</v>
      </c>
    </row>
    <row r="19" spans="1:35" ht="15.75" thickBot="1">
      <c r="A19" s="270" t="s">
        <v>16</v>
      </c>
      <c r="B19" s="179">
        <f>SUM(B13:B18)</f>
        <v>3066505667.0500002</v>
      </c>
      <c r="C19" s="210"/>
      <c r="D19" s="204">
        <f>SUM(D13:D18)</f>
        <v>33118164156709.84</v>
      </c>
      <c r="F19" s="267"/>
      <c r="G19" s="52" t="s">
        <v>71</v>
      </c>
      <c r="H19" s="75">
        <f>H14*2+H15</f>
        <v>18.015999999999998</v>
      </c>
      <c r="S19" s="6" t="s">
        <v>63</v>
      </c>
      <c r="T19" s="162">
        <f>Summary!B17</f>
        <v>1753.9066972276796</v>
      </c>
      <c r="U19" s="20">
        <f>Summary!D17</f>
        <v>50894.689149483078</v>
      </c>
      <c r="V19" s="53"/>
      <c r="W19" s="162">
        <f t="shared" si="1"/>
        <v>0</v>
      </c>
      <c r="X19" s="5">
        <f>Y38/(H13+H15+H17)</f>
        <v>0</v>
      </c>
      <c r="Y19" s="6">
        <f t="shared" si="2"/>
        <v>0</v>
      </c>
      <c r="Z19" s="162">
        <f>Y19*U19*($T$9-$H$10)</f>
        <v>0</v>
      </c>
      <c r="AB19" s="198" t="s">
        <v>223</v>
      </c>
      <c r="AC19" s="190"/>
      <c r="AD19" s="191"/>
      <c r="AG19" s="11" t="s">
        <v>12</v>
      </c>
      <c r="AH19" s="4"/>
    </row>
    <row r="20" spans="1:35" ht="15.75" thickBot="1">
      <c r="A20" s="266" t="s">
        <v>177</v>
      </c>
      <c r="B20" s="188"/>
      <c r="C20" s="188"/>
      <c r="S20" s="6" t="s">
        <v>60</v>
      </c>
      <c r="T20" s="162">
        <f>Summary!B18</f>
        <v>368077.89753694582</v>
      </c>
      <c r="U20" s="20">
        <f>Summary!D18</f>
        <v>6268624.2495824629</v>
      </c>
      <c r="V20" s="53">
        <v>-19750</v>
      </c>
      <c r="W20" s="162">
        <f t="shared" si="1"/>
        <v>-7269538476.3546801</v>
      </c>
      <c r="X20" s="5">
        <f>Y39/(H16+H14*3)</f>
        <v>2.6977043536353129</v>
      </c>
      <c r="Y20" s="6">
        <f t="shared" si="2"/>
        <v>0.64430483726661403</v>
      </c>
      <c r="Z20" s="162">
        <f>Y20*U20*($T$9-$H$10)</f>
        <v>5561572084.4965973</v>
      </c>
      <c r="AB20" s="206" t="s">
        <v>220</v>
      </c>
      <c r="AC20" s="213"/>
      <c r="AD20" s="192">
        <v>220</v>
      </c>
      <c r="AG20" s="36" t="s">
        <v>19</v>
      </c>
      <c r="AH20" s="17">
        <f>Summary!R32</f>
        <v>237178412.38581997</v>
      </c>
    </row>
    <row r="21" spans="1:35" ht="15.75" thickBot="1">
      <c r="A21" s="266" t="s">
        <v>179</v>
      </c>
      <c r="B21" s="188"/>
      <c r="C21" s="188"/>
      <c r="D21" s="188"/>
      <c r="E21" s="188"/>
      <c r="J21" s="203" t="s">
        <v>217</v>
      </c>
      <c r="K21" s="203"/>
      <c r="L21" s="275">
        <f>(L22-32)*5/9+273.15</f>
        <v>1238.7055555555555</v>
      </c>
      <c r="M21" s="73" t="s">
        <v>218</v>
      </c>
      <c r="N21" s="275">
        <f>(N22-32)*5/9+273.15</f>
        <v>789.81666666666661</v>
      </c>
      <c r="O21" s="189" t="s">
        <v>172</v>
      </c>
      <c r="P21" s="72" t="s">
        <v>172</v>
      </c>
      <c r="Q21" s="36" t="s">
        <v>207</v>
      </c>
      <c r="S21" s="6" t="s">
        <v>64</v>
      </c>
      <c r="T21" s="162">
        <f>Summary!B19</f>
        <v>147231.15901477833</v>
      </c>
      <c r="U21" s="20">
        <f>Summary!D19</f>
        <v>3978907.3492584825</v>
      </c>
      <c r="V21" s="53">
        <f>130.5*1000*0.4299/0.2388</f>
        <v>234932.78894472358</v>
      </c>
      <c r="W21" s="162">
        <f t="shared" si="1"/>
        <v>34589426806.905952</v>
      </c>
      <c r="X21" s="5">
        <f>Y40/(H14+H13+H16)</f>
        <v>1.6812970618985092</v>
      </c>
      <c r="Y21" s="6">
        <f t="shared" si="2"/>
        <v>0.4015517224500858</v>
      </c>
      <c r="Z21" s="162">
        <f>Y21*U21*($T$9-$H$10)</f>
        <v>2200083986.0996952</v>
      </c>
      <c r="AB21" s="206" t="s">
        <v>219</v>
      </c>
      <c r="AC21" s="213"/>
      <c r="AD21" s="192">
        <v>1770</v>
      </c>
      <c r="AG21" s="207" t="s">
        <v>228</v>
      </c>
      <c r="AH21" s="7">
        <v>0.2</v>
      </c>
    </row>
    <row r="22" spans="1:35" ht="15.75" thickBot="1">
      <c r="A22" s="11" t="s">
        <v>171</v>
      </c>
      <c r="B22" s="72"/>
      <c r="C22" s="3" t="s">
        <v>42</v>
      </c>
      <c r="D22" s="12" t="s">
        <v>42</v>
      </c>
      <c r="E22" s="11" t="s">
        <v>180</v>
      </c>
      <c r="F22" s="4"/>
      <c r="G22" s="44" t="s">
        <v>172</v>
      </c>
      <c r="H22" s="1" t="s">
        <v>181</v>
      </c>
      <c r="J22" s="203" t="s">
        <v>210</v>
      </c>
      <c r="K22" s="203"/>
      <c r="L22" s="275">
        <f>Combuster!I41</f>
        <v>1770</v>
      </c>
      <c r="M22" s="73" t="s">
        <v>215</v>
      </c>
      <c r="N22" s="275">
        <f>(L22-F25)/2+H10</f>
        <v>962</v>
      </c>
      <c r="O22" s="10" t="s">
        <v>174</v>
      </c>
      <c r="P22" s="272" t="s">
        <v>186</v>
      </c>
      <c r="Q22" s="2" t="s">
        <v>154</v>
      </c>
      <c r="S22" s="6" t="s">
        <v>65</v>
      </c>
      <c r="T22" s="162">
        <f>Summary!B20</f>
        <v>478501.2667980296</v>
      </c>
      <c r="U22" s="20">
        <f>Summary!D20</f>
        <v>13404734.488080001</v>
      </c>
      <c r="V22" s="53">
        <v>0</v>
      </c>
      <c r="W22" s="162">
        <f t="shared" si="1"/>
        <v>0</v>
      </c>
      <c r="X22" s="5">
        <f>Y41/(H16*2)</f>
        <v>1.0921941510792545</v>
      </c>
      <c r="Y22" s="6">
        <f t="shared" si="2"/>
        <v>0.26085363054197624</v>
      </c>
      <c r="Z22" s="162">
        <f>Y22*U22*($T$9-$H$10)</f>
        <v>4814919626.6073322</v>
      </c>
      <c r="AB22" s="206" t="s">
        <v>221</v>
      </c>
      <c r="AC22" s="213"/>
      <c r="AD22" s="192">
        <v>500</v>
      </c>
      <c r="AG22" s="178" t="s">
        <v>154</v>
      </c>
      <c r="AH22" s="29">
        <f>AH21*AH20*(L22-T9)</f>
        <v>14989675662.783825</v>
      </c>
    </row>
    <row r="23" spans="1:35" ht="15.75" thickBot="1">
      <c r="A23" s="5"/>
      <c r="B23" s="90" t="s">
        <v>19</v>
      </c>
      <c r="C23" s="90" t="s">
        <v>175</v>
      </c>
      <c r="D23" s="65" t="s">
        <v>154</v>
      </c>
      <c r="E23" s="110" t="s">
        <v>154</v>
      </c>
      <c r="F23" s="65" t="s">
        <v>175</v>
      </c>
      <c r="G23" s="208" t="s">
        <v>186</v>
      </c>
      <c r="H23" s="205" t="s">
        <v>154</v>
      </c>
      <c r="J23" s="3" t="s">
        <v>121</v>
      </c>
      <c r="K23" s="1" t="s">
        <v>21</v>
      </c>
      <c r="L23" s="12" t="s">
        <v>19</v>
      </c>
      <c r="M23" s="94" t="s">
        <v>180</v>
      </c>
      <c r="N23" s="1" t="s">
        <v>180</v>
      </c>
      <c r="O23" s="6">
        <f>O36/(H16*2)</f>
        <v>1.1143423567722128</v>
      </c>
      <c r="P23" s="6">
        <f>O23/4.187</f>
        <v>0.26614338590212866</v>
      </c>
      <c r="Q23" s="162">
        <f>P23*L25*($L$22-$H$10)</f>
        <v>2929805441733.6123</v>
      </c>
      <c r="S23" s="6" t="s">
        <v>61</v>
      </c>
      <c r="T23" s="162">
        <f>Summary!B21</f>
        <v>33648.220207034661</v>
      </c>
      <c r="U23" s="20">
        <f>Summary!D21</f>
        <v>1226844.3921466703</v>
      </c>
      <c r="V23" s="53">
        <f>-92.3*1000*0.4299/0.2388</f>
        <v>-166163.19095477386</v>
      </c>
      <c r="W23" s="162">
        <f t="shared" si="1"/>
        <v>-5591095639.5497808</v>
      </c>
      <c r="X23" s="5">
        <f>Y42/(H14+H18)</f>
        <v>0.82122150082679879</v>
      </c>
      <c r="Y23" s="6">
        <f t="shared" si="2"/>
        <v>0.19613601643821321</v>
      </c>
      <c r="Z23" s="162">
        <f>Y23*U23*($T$9-$H$10)</f>
        <v>331345268.05839282</v>
      </c>
      <c r="AB23" s="199" t="s">
        <v>222</v>
      </c>
      <c r="AC23" s="200"/>
      <c r="AD23" s="201">
        <v>700</v>
      </c>
      <c r="AG23" s="188" t="s">
        <v>229</v>
      </c>
      <c r="AH23" s="188"/>
    </row>
    <row r="24" spans="1:35" ht="15.75" thickBot="1">
      <c r="A24" s="87" t="s">
        <v>126</v>
      </c>
      <c r="B24" s="74">
        <f>'Gasifier Material'!D14</f>
        <v>3066659000</v>
      </c>
      <c r="C24" s="203">
        <v>7689</v>
      </c>
      <c r="D24" s="204">
        <f>C24*B24</f>
        <v>23579541051000</v>
      </c>
      <c r="E24" s="28">
        <f>D24-D19</f>
        <v>-9538623105709.8398</v>
      </c>
      <c r="F24" s="29">
        <f>E24/B24</f>
        <v>-3110.4283540197457</v>
      </c>
      <c r="G24" s="47">
        <f>D25*0.4299*5/9</f>
        <v>0.35825000000000001</v>
      </c>
      <c r="H24" s="179">
        <f>G24*B24*(C8-H10)</f>
        <v>157104173905.25</v>
      </c>
      <c r="J24" s="19"/>
      <c r="K24" s="205" t="s">
        <v>16</v>
      </c>
      <c r="L24" s="65" t="s">
        <v>16</v>
      </c>
      <c r="M24" s="184" t="s">
        <v>141</v>
      </c>
      <c r="N24" s="207" t="s">
        <v>154</v>
      </c>
      <c r="O24" s="6">
        <f>O37/(H15*2)</f>
        <v>1.0398366487110102</v>
      </c>
      <c r="P24" s="6">
        <f t="shared" ref="P24:P28" si="3">O24/4.187</f>
        <v>0.2483488532866038</v>
      </c>
      <c r="Q24" s="162">
        <f>P24*L26*($L$22-$H$10)</f>
        <v>140101892801.95056</v>
      </c>
      <c r="S24" s="6" t="s">
        <v>71</v>
      </c>
      <c r="T24" s="162">
        <f>Summary!B22</f>
        <v>63114590.578689441</v>
      </c>
      <c r="U24" s="20">
        <f>Summary!D22</f>
        <v>1137059840.9475532</v>
      </c>
      <c r="V24" s="53">
        <v>-104040</v>
      </c>
      <c r="W24" s="162">
        <f t="shared" si="1"/>
        <v>-6566442003806.8496</v>
      </c>
      <c r="X24" s="5">
        <f>Y43/(H14*2+H15)</f>
        <v>2.0553193208652933</v>
      </c>
      <c r="Y24" s="6">
        <f t="shared" si="2"/>
        <v>0.4908811370588233</v>
      </c>
      <c r="Z24" s="162">
        <f>Y24*U24*($T$9-$H$10)</f>
        <v>768588010444.11353</v>
      </c>
      <c r="AB24" s="280" t="s">
        <v>224</v>
      </c>
      <c r="AC24" s="202"/>
      <c r="AD24" s="281">
        <v>1454</v>
      </c>
    </row>
    <row r="25" spans="1:35" ht="15.75" thickBot="1">
      <c r="A25" s="188" t="s">
        <v>188</v>
      </c>
      <c r="B25" s="188" t="s">
        <v>187</v>
      </c>
      <c r="C25" s="188"/>
      <c r="D25" s="188">
        <v>1.5</v>
      </c>
      <c r="J25" s="6" t="s">
        <v>65</v>
      </c>
      <c r="K25" s="162">
        <f>Summary!P10</f>
        <v>232108487.28797963</v>
      </c>
      <c r="L25" s="20">
        <f>Summary!Q10</f>
        <v>6502287162.8854609</v>
      </c>
      <c r="M25" s="53">
        <v>0</v>
      </c>
      <c r="N25" s="162">
        <f>M25*K25</f>
        <v>0</v>
      </c>
      <c r="O25" s="6">
        <f>O38/(H14*2+H15)</f>
        <v>2.1387834623357889</v>
      </c>
      <c r="P25" s="6">
        <f t="shared" si="3"/>
        <v>0.51081525252825144</v>
      </c>
      <c r="Q25" s="162">
        <f>P25*L27*($L$22-$H$10)</f>
        <v>907394677625.04077</v>
      </c>
      <c r="S25" s="272" t="s">
        <v>49</v>
      </c>
      <c r="T25" s="70">
        <f>Summary!B23</f>
        <v>1074191.238152808</v>
      </c>
      <c r="U25" s="29">
        <f>Summary!D23</f>
        <v>137671786.49362597</v>
      </c>
      <c r="V25" s="268">
        <f>F24</f>
        <v>-3110.4283540197457</v>
      </c>
      <c r="W25" s="70">
        <f>V25*U25</f>
        <v>-428218228258.3269</v>
      </c>
      <c r="X25" s="10"/>
      <c r="Y25" s="272">
        <f t="shared" si="2"/>
        <v>0</v>
      </c>
      <c r="Z25" s="70">
        <f>Y25*U25*($T$9-$H$10)</f>
        <v>0</v>
      </c>
    </row>
    <row r="26" spans="1:35" ht="15.75" thickBot="1">
      <c r="A26" s="112" t="s">
        <v>189</v>
      </c>
      <c r="B26" s="114"/>
      <c r="J26" s="6" t="s">
        <v>155</v>
      </c>
      <c r="K26" s="162">
        <f>Summary!P11</f>
        <v>10412976.954851434</v>
      </c>
      <c r="L26" s="20">
        <f>Summary!Q11</f>
        <v>333215262.55524588</v>
      </c>
      <c r="M26" s="53">
        <v>0</v>
      </c>
      <c r="N26" s="162">
        <f t="shared" ref="N26:N30" si="4">M26*K26</f>
        <v>0</v>
      </c>
      <c r="O26" s="6">
        <f>O39/(H13+H15*2)</f>
        <v>1.1517724401299874</v>
      </c>
      <c r="P26" s="6">
        <f t="shared" si="3"/>
        <v>0.27508298068545195</v>
      </c>
      <c r="Q26" s="162">
        <f>P26*L28*($L$22-$H$10)</f>
        <v>798153924180.47534</v>
      </c>
      <c r="S26" s="6" t="s">
        <v>16</v>
      </c>
      <c r="W26" s="70">
        <f>SUM(W12:W25)</f>
        <v>-11067317162056.512</v>
      </c>
      <c r="Z26" s="70">
        <f>SUM(Z12:Z25)</f>
        <v>1939688905060.7458</v>
      </c>
    </row>
    <row r="27" spans="1:35" ht="15.75" thickBot="1">
      <c r="A27" s="274" t="s">
        <v>154</v>
      </c>
      <c r="B27" s="237">
        <f>E24+H24</f>
        <v>-9381518931804.5898</v>
      </c>
      <c r="J27" s="6" t="s">
        <v>71</v>
      </c>
      <c r="K27" s="162">
        <f>Summary!P12</f>
        <v>58240066.346424945</v>
      </c>
      <c r="L27" s="20">
        <f>Summary!Q12</f>
        <v>1049241387.2839224</v>
      </c>
      <c r="M27" s="53">
        <v>-104040</v>
      </c>
      <c r="N27" s="162">
        <f t="shared" si="4"/>
        <v>-6059296502682.0508</v>
      </c>
      <c r="O27" s="6">
        <f>O40/(H16+H15*2)</f>
        <v>1.0479231203098358</v>
      </c>
      <c r="P27" s="6">
        <f t="shared" si="3"/>
        <v>0.25028018158821014</v>
      </c>
      <c r="Q27" s="162">
        <f>P27*L29*($L$22-$H$10)</f>
        <v>99946868.445360735</v>
      </c>
      <c r="S27" s="203" t="s">
        <v>209</v>
      </c>
      <c r="T27" s="203"/>
      <c r="U27" s="204">
        <f>W26+Z26</f>
        <v>-9127628256995.7656</v>
      </c>
    </row>
    <row r="28" spans="1:35" ht="15.75" thickBot="1">
      <c r="A28" s="188" t="s">
        <v>190</v>
      </c>
      <c r="B28" s="188"/>
      <c r="C28" s="188"/>
      <c r="J28" s="6" t="s">
        <v>36</v>
      </c>
      <c r="K28" s="162">
        <f>Summary!P13</f>
        <v>38941672.94743102</v>
      </c>
      <c r="L28" s="20">
        <f>Summary!Q13</f>
        <v>1713823026.4164391</v>
      </c>
      <c r="M28" s="53">
        <v>-169300</v>
      </c>
      <c r="N28" s="162">
        <f t="shared" si="4"/>
        <v>-6592825230000.0713</v>
      </c>
      <c r="O28" s="272">
        <f>O41/(H17+H15*2)</f>
        <v>0.80054494001818843</v>
      </c>
      <c r="P28" s="272">
        <f t="shared" si="3"/>
        <v>0.19119774063009037</v>
      </c>
      <c r="Q28" s="70">
        <f>P28*L30*($L$22-$H$10)</f>
        <v>32921209.893698465</v>
      </c>
    </row>
    <row r="29" spans="1:35" ht="15.75" thickBot="1">
      <c r="J29" s="6" t="s">
        <v>163</v>
      </c>
      <c r="K29" s="162">
        <f>Summary!P14</f>
        <v>7860.735684729063</v>
      </c>
      <c r="L29" s="20">
        <f>Summary!Q14</f>
        <v>235877.09569166499</v>
      </c>
      <c r="M29" s="53">
        <f>33.1*1000*0.4299/0.2388</f>
        <v>59588.316582914573</v>
      </c>
      <c r="N29" s="162">
        <f t="shared" si="4"/>
        <v>468408006.55624914</v>
      </c>
      <c r="Q29" s="179">
        <f>SUM(Q23:Q28)</f>
        <v>4775588804419.418</v>
      </c>
      <c r="U29" s="183" t="s">
        <v>208</v>
      </c>
      <c r="V29" s="183"/>
      <c r="W29" s="183"/>
      <c r="X29" s="183"/>
      <c r="Y29" s="183" t="s">
        <v>172</v>
      </c>
      <c r="AB29" s="108" t="s">
        <v>271</v>
      </c>
      <c r="AC29" s="108"/>
    </row>
    <row r="30" spans="1:35" ht="15.75" thickBot="1">
      <c r="J30" s="272" t="s">
        <v>140</v>
      </c>
      <c r="K30" s="70">
        <f>Summary!P15</f>
        <v>1587.5055165746719</v>
      </c>
      <c r="L30" s="29">
        <f>Summary!Q15</f>
        <v>101703.54091935635</v>
      </c>
      <c r="M30" s="53">
        <f>-296.84*1000*0.4299/0.2388</f>
        <v>-534386.58291457291</v>
      </c>
      <c r="N30" s="70">
        <f t="shared" si="4"/>
        <v>-848341648.36037278</v>
      </c>
      <c r="U30" s="196" t="s">
        <v>202</v>
      </c>
      <c r="V30" s="196" t="s">
        <v>203</v>
      </c>
      <c r="W30" s="196" t="s">
        <v>7</v>
      </c>
      <c r="X30" s="196" t="s">
        <v>204</v>
      </c>
      <c r="Y30" s="196" t="s">
        <v>205</v>
      </c>
    </row>
    <row r="31" spans="1:35" ht="15.75" thickBot="1">
      <c r="J31" s="6" t="s">
        <v>16</v>
      </c>
      <c r="N31" s="179">
        <f>SUM(N25:N30)</f>
        <v>-12652501666323.926</v>
      </c>
      <c r="U31" s="195">
        <v>5.4569999999999999</v>
      </c>
      <c r="V31" s="183">
        <v>1.0449999999999999</v>
      </c>
      <c r="W31" s="183"/>
      <c r="X31" s="183">
        <v>-1.157</v>
      </c>
      <c r="Y31" s="103">
        <f>8.314*(U31+V31*0.001*$V$8+W31*0.000001*$V$8^2+X31*100000*$V$8^-2)</f>
        <v>48.884004480215218</v>
      </c>
      <c r="AB31" s="112" t="s">
        <v>199</v>
      </c>
      <c r="AC31" s="114"/>
      <c r="AE31" s="150" t="s">
        <v>212</v>
      </c>
      <c r="AF31" s="114"/>
      <c r="AH31" s="112" t="s">
        <v>230</v>
      </c>
      <c r="AI31" s="114">
        <v>1</v>
      </c>
    </row>
    <row r="32" spans="1:35" ht="15.75" thickBot="1">
      <c r="J32" s="279" t="s">
        <v>211</v>
      </c>
      <c r="K32" s="279"/>
      <c r="L32" s="335">
        <f>N31+Q29</f>
        <v>-7876912861904.5078</v>
      </c>
      <c r="U32" s="97">
        <v>3.3759999999999999</v>
      </c>
      <c r="V32" s="53">
        <v>0.55700000000000005</v>
      </c>
      <c r="W32" s="53"/>
      <c r="X32" s="53">
        <v>-3.1E-2</v>
      </c>
      <c r="Y32" s="104">
        <f>8.314*(U32+V32*0.001*$V$8+W32*0.000001*$V$8^2+X32*100000*$V$8^-2)</f>
        <v>31.061734673567909</v>
      </c>
      <c r="AB32" s="236" t="s">
        <v>154</v>
      </c>
      <c r="AC32" s="282">
        <f>AC17+B27+B41+K17</f>
        <v>-17190962295202.248</v>
      </c>
      <c r="AE32" s="279" t="s">
        <v>154</v>
      </c>
      <c r="AF32" s="282">
        <f>L32+U27</f>
        <v>-17004541118900.273</v>
      </c>
      <c r="AH32" s="274" t="s">
        <v>231</v>
      </c>
      <c r="AI32" s="237">
        <f>AH22</f>
        <v>14989675662.783825</v>
      </c>
    </row>
    <row r="33" spans="1:33" ht="15.75" thickBot="1">
      <c r="U33" s="97">
        <v>3.2490000000000001</v>
      </c>
      <c r="V33" s="53">
        <v>0.42199999999999999</v>
      </c>
      <c r="W33" s="53"/>
      <c r="X33" s="53">
        <v>8.3000000000000004E-2</v>
      </c>
      <c r="Y33" s="104">
        <f>8.314*(U33+V33*0.001*$V$8+W33*0.000001*$V$8^2+X33*100000*$V$8^-2)</f>
        <v>29.483980619532154</v>
      </c>
    </row>
    <row r="34" spans="1:33" ht="15.75" thickBot="1">
      <c r="K34" s="183" t="s">
        <v>208</v>
      </c>
      <c r="L34" s="183"/>
      <c r="M34" s="183"/>
      <c r="N34" s="183"/>
      <c r="O34" s="183" t="s">
        <v>172</v>
      </c>
      <c r="U34" s="97">
        <v>1.702</v>
      </c>
      <c r="V34" s="53">
        <v>9.0809999999999995</v>
      </c>
      <c r="W34" s="53">
        <v>-2.1640000000000001</v>
      </c>
      <c r="X34" s="53"/>
      <c r="Y34" s="104">
        <f>8.314*(U34+V34*0.001*$V$8+W34*0.000001*$V$8^2+X34*100000*$V$8^-2)</f>
        <v>56.104710972685929</v>
      </c>
      <c r="AE34" s="112" t="s">
        <v>269</v>
      </c>
      <c r="AF34" s="113"/>
      <c r="AG34" s="114"/>
    </row>
    <row r="35" spans="1:33" ht="15.75" thickBot="1">
      <c r="A35" s="11" t="s">
        <v>196</v>
      </c>
      <c r="B35" s="3"/>
      <c r="C35" s="12"/>
      <c r="D35" s="94" t="s">
        <v>180</v>
      </c>
      <c r="E35" s="11" t="s">
        <v>180</v>
      </c>
      <c r="F35" s="4"/>
      <c r="G35" s="189" t="s">
        <v>172</v>
      </c>
      <c r="H35" s="72" t="s">
        <v>172</v>
      </c>
      <c r="I35" s="189" t="s">
        <v>207</v>
      </c>
      <c r="K35" s="53" t="s">
        <v>202</v>
      </c>
      <c r="L35" s="53" t="s">
        <v>203</v>
      </c>
      <c r="M35" s="53" t="s">
        <v>7</v>
      </c>
      <c r="N35" s="53" t="s">
        <v>204</v>
      </c>
      <c r="O35" s="53" t="s">
        <v>205</v>
      </c>
      <c r="U35" s="97">
        <v>1.4239999999999999</v>
      </c>
      <c r="V35" s="53">
        <v>14.394</v>
      </c>
      <c r="W35" s="53">
        <v>-4.3920000000000003</v>
      </c>
      <c r="X35" s="53"/>
      <c r="Y35" s="104">
        <f>8.314*(U35+V35*0.001*$V$8+W35*0.000001*$V$8^2+X35*100000*$V$8^-2)</f>
        <v>74.863666572769091</v>
      </c>
      <c r="AE35" s="236" t="s">
        <v>154</v>
      </c>
      <c r="AF35" s="336">
        <f>AF32+0.01*AF32-AI32</f>
        <v>-17189576205752.059</v>
      </c>
      <c r="AG35" s="337"/>
    </row>
    <row r="36" spans="1:33" ht="15.75" thickBot="1">
      <c r="A36" s="5"/>
      <c r="B36" s="90" t="s">
        <v>21</v>
      </c>
      <c r="C36" s="65" t="s">
        <v>19</v>
      </c>
      <c r="D36" s="53" t="s">
        <v>141</v>
      </c>
      <c r="E36" s="110" t="s">
        <v>154</v>
      </c>
      <c r="F36" s="65" t="s">
        <v>175</v>
      </c>
      <c r="G36" s="10" t="s">
        <v>174</v>
      </c>
      <c r="H36" s="272" t="s">
        <v>186</v>
      </c>
      <c r="I36" s="10" t="s">
        <v>154</v>
      </c>
      <c r="K36" s="195">
        <v>3.28</v>
      </c>
      <c r="L36" s="183">
        <v>0.59299999999999997</v>
      </c>
      <c r="M36" s="183"/>
      <c r="N36" s="183">
        <v>0.04</v>
      </c>
      <c r="O36" s="103">
        <f>8.314*(K36+L36*0.001*$N$21+M36*0.000001*$N$21^2+N36*100000*$N$21^-2)</f>
        <v>31.217186782616768</v>
      </c>
      <c r="U36" s="97">
        <v>1.131</v>
      </c>
      <c r="V36" s="53">
        <v>19.225000000000001</v>
      </c>
      <c r="W36" s="53">
        <v>-5.5609999999999999</v>
      </c>
      <c r="X36" s="53"/>
      <c r="Y36" s="104">
        <f>8.314*(U36+V36*0.001*$V$8+W36*0.000001*$V$8^2+X36*100000*$V$8^-2)</f>
        <v>94.68269246256213</v>
      </c>
    </row>
    <row r="37" spans="1:33" ht="15.75" thickBot="1">
      <c r="A37" s="10" t="s">
        <v>71</v>
      </c>
      <c r="B37" s="76">
        <f>'Gasifier Material'!O30</f>
        <v>18913182.109729625</v>
      </c>
      <c r="C37" s="29">
        <f>'Gasifier Material'!H21</f>
        <v>340739888.8888889</v>
      </c>
      <c r="D37" s="196">
        <f>B39*0.0009478*1000*453.6</f>
        <v>-103968.05660640002</v>
      </c>
      <c r="E37" s="28">
        <f>D37*B37</f>
        <v>-1966366788191.5217</v>
      </c>
      <c r="F37" s="29">
        <f>E37/C37</f>
        <v>-5770.8734794849033</v>
      </c>
      <c r="G37" s="10">
        <f>I42/(H14*2+H15)</f>
        <v>1.8763301129403773</v>
      </c>
      <c r="H37" s="272">
        <f t="shared" ref="H37" si="5">G37/4.187</f>
        <v>0.44813234128024293</v>
      </c>
      <c r="I37" s="28">
        <f>H37*C37*(B38-H10)</f>
        <v>21835608677.074711</v>
      </c>
      <c r="K37" s="97">
        <v>3.6389999999999998</v>
      </c>
      <c r="L37" s="53">
        <v>0.50600000000000001</v>
      </c>
      <c r="M37" s="53"/>
      <c r="N37" s="53">
        <v>-0.22700000000000001</v>
      </c>
      <c r="O37" s="104">
        <f>8.314*(K37+L37*0.001*$N$21+M37*0.000001*$N$21^2+N37*100000*$N$21^-2)</f>
        <v>33.274772758752327</v>
      </c>
      <c r="U37" s="97">
        <v>3.931</v>
      </c>
      <c r="V37" s="53">
        <v>1.49</v>
      </c>
      <c r="W37" s="53"/>
      <c r="X37" s="53">
        <v>-0.23200000000000001</v>
      </c>
      <c r="Y37" s="104">
        <f>8.314*(U37+V37*0.001*$V$8+W37*0.000001*$V$8^2+X37*100000*$V$8^-2)</f>
        <v>40.405372648979196</v>
      </c>
    </row>
    <row r="38" spans="1:33" ht="15.75" thickBot="1">
      <c r="A38" s="10" t="s">
        <v>156</v>
      </c>
      <c r="B38" s="276">
        <f>C8</f>
        <v>220</v>
      </c>
      <c r="C38" s="73" t="s">
        <v>215</v>
      </c>
      <c r="D38" s="275">
        <f>(B38-H10)/2+H10</f>
        <v>148.5</v>
      </c>
      <c r="E38" s="73" t="s">
        <v>218</v>
      </c>
      <c r="F38" s="275">
        <f>(D38-32)*5/9+273.15</f>
        <v>337.87222222222221</v>
      </c>
      <c r="K38" s="97">
        <v>3.47</v>
      </c>
      <c r="L38" s="53">
        <v>1.45</v>
      </c>
      <c r="M38" s="53"/>
      <c r="N38" s="53">
        <v>0.121</v>
      </c>
      <c r="O38" s="104">
        <f>8.314*(K38+L38*0.001*$N$21+M38*0.000001*$N$21^2+N38*100000*$N$21^-2)</f>
        <v>38.532322857441571</v>
      </c>
      <c r="U38" s="97"/>
      <c r="V38" s="53"/>
      <c r="W38" s="53"/>
      <c r="X38" s="53"/>
      <c r="Y38" s="104">
        <f>8.314*(U38+V38*0.001*$V$8+W38*0.000001*$V$8^2+X38*100000*$V$8^-2)</f>
        <v>0</v>
      </c>
    </row>
    <row r="39" spans="1:33" ht="15.75" thickBot="1">
      <c r="A39" s="59" t="s">
        <v>195</v>
      </c>
      <c r="B39" s="188">
        <v>-241.83</v>
      </c>
      <c r="C39" s="188" t="s">
        <v>194</v>
      </c>
      <c r="K39" s="97">
        <v>5.4569999999999999</v>
      </c>
      <c r="L39" s="53">
        <v>1.0449999999999999</v>
      </c>
      <c r="M39" s="53"/>
      <c r="N39" s="53">
        <v>-1.157</v>
      </c>
      <c r="O39" s="104">
        <f>8.314*(K39+L39*0.001*$N$21+M39*0.000001*$N$21^2+N39*100000*$N$21^-2)</f>
        <v>50.68950509012074</v>
      </c>
      <c r="U39" s="97">
        <v>3.5779999999999998</v>
      </c>
      <c r="V39" s="53">
        <v>3.02</v>
      </c>
      <c r="W39" s="53"/>
      <c r="X39" s="53">
        <v>-0.186</v>
      </c>
      <c r="Y39" s="104">
        <f>8.314*(U39+V39*0.001*$V$8+W39*0.000001*$V$8^2+X39*100000*$V$8^-2)</f>
        <v>45.944602846763011</v>
      </c>
    </row>
    <row r="40" spans="1:33" ht="15.75" thickBot="1">
      <c r="A40" s="112" t="s">
        <v>189</v>
      </c>
      <c r="B40" s="114"/>
      <c r="E40" s="183" t="s">
        <v>208</v>
      </c>
      <c r="F40" s="183"/>
      <c r="G40" s="183"/>
      <c r="H40" s="183"/>
      <c r="I40" s="183" t="s">
        <v>172</v>
      </c>
      <c r="K40" s="97">
        <v>4.9820000000000002</v>
      </c>
      <c r="L40" s="53">
        <v>1.1950000000000001</v>
      </c>
      <c r="M40" s="53"/>
      <c r="N40" s="53">
        <v>-0.79200000000000004</v>
      </c>
      <c r="O40" s="104">
        <f>8.314*(K40+L40*0.001*$N$21+M40*0.000001*$N$21^2+N40*100000*$N$21^-2)</f>
        <v>48.211798996094615</v>
      </c>
      <c r="U40" s="97">
        <v>4.7359999999999998</v>
      </c>
      <c r="V40" s="53">
        <v>1.359</v>
      </c>
      <c r="W40" s="53"/>
      <c r="X40" s="53">
        <v>-0.72499999999999998</v>
      </c>
      <c r="Y40" s="104">
        <f>8.314*(U40+V40*0.001*$V$8+W40*0.000001*$V$8^2+X40*100000*$V$8^-2)</f>
        <v>45.437053097807208</v>
      </c>
    </row>
    <row r="41" spans="1:33" ht="15.75" thickBot="1">
      <c r="A41" s="274" t="s">
        <v>154</v>
      </c>
      <c r="B41" s="237">
        <f>E37+I37</f>
        <v>-1944531179514.447</v>
      </c>
      <c r="E41" s="196" t="s">
        <v>202</v>
      </c>
      <c r="F41" s="196" t="s">
        <v>203</v>
      </c>
      <c r="G41" s="196" t="s">
        <v>7</v>
      </c>
      <c r="H41" s="196" t="s">
        <v>204</v>
      </c>
      <c r="I41" s="196" t="s">
        <v>205</v>
      </c>
      <c r="K41" s="185">
        <v>5.6989999999999998</v>
      </c>
      <c r="L41" s="196">
        <v>0.80100000000000005</v>
      </c>
      <c r="M41" s="196"/>
      <c r="N41" s="196">
        <v>-1.0149999999999999</v>
      </c>
      <c r="O41" s="197">
        <f>8.314*(K41+L41*0.001*$N$21+M41*0.000001*$N$21^2+N41*100000*$N$21^-2)</f>
        <v>51.288512672145281</v>
      </c>
      <c r="U41" s="97">
        <v>3.28</v>
      </c>
      <c r="V41" s="53">
        <v>0.59299999999999997</v>
      </c>
      <c r="W41" s="53"/>
      <c r="X41" s="53">
        <v>0.04</v>
      </c>
      <c r="Y41" s="104">
        <f>8.314*(U41+V41*0.001*$V$8+W41*0.000001*$V$8^2+X41*100000*$V$8^-2)</f>
        <v>30.596726948334236</v>
      </c>
    </row>
    <row r="42" spans="1:33" ht="15.75" thickBot="1">
      <c r="E42" s="196">
        <v>3.47</v>
      </c>
      <c r="F42" s="196">
        <v>1.45</v>
      </c>
      <c r="G42" s="196"/>
      <c r="H42" s="196">
        <v>0.121</v>
      </c>
      <c r="I42" s="196">
        <f>8.314*(E42+F42*0.001*$F$38+G42*0.000001*$F$38^2+H42*100000*$F$38^-2)</f>
        <v>33.803963314733835</v>
      </c>
      <c r="U42" s="97">
        <v>3.1560000000000001</v>
      </c>
      <c r="V42" s="53">
        <v>0.623</v>
      </c>
      <c r="W42" s="53"/>
      <c r="X42" s="53">
        <v>0.151</v>
      </c>
      <c r="Y42" s="104">
        <f>8.314*(U42+V42*0.001*$V$8+W42*0.000001*$V$8^2+X42*100000*$V$8^-2)</f>
        <v>29.942557141645917</v>
      </c>
    </row>
    <row r="43" spans="1:33">
      <c r="U43" s="97">
        <v>3.47</v>
      </c>
      <c r="V43" s="53">
        <v>1.45</v>
      </c>
      <c r="W43" s="53"/>
      <c r="X43" s="53">
        <v>0.121</v>
      </c>
      <c r="Y43" s="104">
        <f>8.314*(U43+V43*0.001*$V$8+W43*0.000001*$V$8^2+X43*100000*$V$8^-2)</f>
        <v>37.028632884709118</v>
      </c>
    </row>
    <row r="44" spans="1:33" ht="15.75" thickBot="1">
      <c r="U44" s="185"/>
      <c r="V44" s="196"/>
      <c r="W44" s="196"/>
      <c r="X44" s="196"/>
      <c r="Y44" s="197">
        <f>8.314*(U44+V44*0.001*$V$8+W44*0.000001*$V$8^2+X44*100000*$V$8^-2)</f>
        <v>0</v>
      </c>
    </row>
    <row r="48" spans="1:33">
      <c r="J48" s="92"/>
      <c r="K48" s="92"/>
      <c r="L48" s="92"/>
      <c r="M48" s="92"/>
      <c r="N48" s="92"/>
      <c r="O48" s="92"/>
      <c r="P48" s="92"/>
      <c r="Q48" s="92"/>
      <c r="AD48" s="64"/>
      <c r="AE48" s="64"/>
    </row>
    <row r="49" spans="10:32">
      <c r="J49" s="91"/>
      <c r="K49" s="92"/>
      <c r="L49" s="93"/>
      <c r="M49" s="91"/>
      <c r="N49" s="92"/>
      <c r="O49" s="92"/>
      <c r="P49" s="92"/>
      <c r="Q49" s="92"/>
      <c r="AD49" s="64"/>
      <c r="AE49" s="64"/>
    </row>
    <row r="50" spans="10:32">
      <c r="J50" s="91"/>
      <c r="K50" s="334"/>
      <c r="L50" s="92"/>
      <c r="M50" s="91"/>
      <c r="N50" s="334"/>
      <c r="O50" s="92"/>
      <c r="P50" s="92"/>
      <c r="Q50" s="92"/>
      <c r="AD50" s="64"/>
      <c r="AE50" s="64"/>
    </row>
    <row r="51" spans="10:32">
      <c r="J51" s="92"/>
      <c r="K51" s="92"/>
      <c r="L51" s="92"/>
      <c r="M51" s="92"/>
      <c r="N51" s="92"/>
      <c r="O51" s="92"/>
      <c r="P51" s="92"/>
      <c r="Q51" s="92"/>
      <c r="AD51" s="64"/>
      <c r="AE51" s="64"/>
    </row>
    <row r="52" spans="10:32">
      <c r="J52" s="92"/>
      <c r="K52" s="92"/>
      <c r="L52" s="92"/>
      <c r="M52" s="92"/>
      <c r="N52" s="92"/>
      <c r="O52" s="92"/>
      <c r="P52" s="92"/>
      <c r="Q52" s="92"/>
      <c r="AD52" s="64"/>
      <c r="AE52" s="64"/>
    </row>
    <row r="53" spans="10:32">
      <c r="J53" s="92"/>
      <c r="K53" s="92"/>
      <c r="L53" s="92"/>
      <c r="M53" s="92"/>
      <c r="N53" s="92"/>
      <c r="O53" s="92"/>
      <c r="P53" s="92"/>
      <c r="Q53" s="92"/>
      <c r="AD53" s="64"/>
      <c r="AE53" s="64"/>
    </row>
    <row r="54" spans="10:32">
      <c r="J54" s="92"/>
      <c r="K54" s="91"/>
      <c r="L54" s="92"/>
      <c r="M54" s="92"/>
      <c r="N54" s="91"/>
      <c r="O54" s="92"/>
      <c r="P54" s="92"/>
      <c r="Q54" s="92"/>
      <c r="AB54" s="64"/>
      <c r="AC54" s="64"/>
      <c r="AD54" s="64"/>
      <c r="AE54" s="64"/>
      <c r="AF54" s="64"/>
    </row>
    <row r="55" spans="10:32">
      <c r="J55" s="92"/>
      <c r="K55" s="92"/>
      <c r="L55" s="92"/>
      <c r="M55" s="92"/>
      <c r="N55" s="92"/>
      <c r="O55" s="92"/>
      <c r="P55" s="92"/>
      <c r="Q55" s="92"/>
      <c r="AB55" s="64"/>
      <c r="AC55" s="64"/>
      <c r="AD55" s="64"/>
      <c r="AE55" s="64"/>
      <c r="AF55" s="64"/>
    </row>
    <row r="56" spans="10:32">
      <c r="J56" s="92"/>
      <c r="K56" s="92"/>
      <c r="L56" s="93"/>
      <c r="M56" s="92"/>
      <c r="N56" s="92"/>
      <c r="O56" s="93"/>
      <c r="P56" s="92"/>
      <c r="Q56" s="92"/>
      <c r="AB56" s="64"/>
      <c r="AC56" s="64"/>
      <c r="AD56" s="64"/>
      <c r="AE56" s="64"/>
      <c r="AF56" s="64"/>
    </row>
    <row r="57" spans="10:32">
      <c r="J57" s="92"/>
      <c r="K57" s="92"/>
      <c r="L57" s="93"/>
      <c r="M57" s="92"/>
      <c r="N57" s="92"/>
      <c r="O57" s="93"/>
      <c r="P57" s="92"/>
      <c r="Q57" s="92"/>
    </row>
    <row r="58" spans="10:32">
      <c r="J58" s="92"/>
      <c r="K58" s="91"/>
      <c r="L58" s="92"/>
      <c r="M58" s="92"/>
      <c r="N58" s="91"/>
      <c r="O58" s="92"/>
      <c r="P58" s="92"/>
      <c r="Q58" s="92"/>
    </row>
    <row r="59" spans="10:32">
      <c r="J59" s="92"/>
      <c r="K59" s="92"/>
      <c r="L59" s="92"/>
      <c r="M59" s="92"/>
      <c r="N59" s="92"/>
      <c r="O59" s="92"/>
      <c r="P59" s="92"/>
      <c r="Q59" s="92"/>
    </row>
    <row r="60" spans="10:32">
      <c r="J60" s="92"/>
      <c r="K60" s="92"/>
      <c r="L60" s="93"/>
      <c r="M60" s="92"/>
      <c r="N60" s="92"/>
      <c r="O60" s="93"/>
      <c r="P60" s="92"/>
      <c r="Q60" s="92"/>
    </row>
    <row r="61" spans="10:32">
      <c r="J61" s="92"/>
      <c r="K61" s="92"/>
      <c r="L61" s="93"/>
      <c r="M61" s="92"/>
      <c r="N61" s="92"/>
      <c r="O61" s="93"/>
      <c r="P61" s="92"/>
      <c r="Q61" s="92"/>
    </row>
    <row r="62" spans="10:32">
      <c r="J62" s="92"/>
      <c r="K62" s="91"/>
      <c r="L62" s="92"/>
      <c r="M62" s="92"/>
      <c r="N62" s="91"/>
      <c r="O62" s="92"/>
      <c r="P62" s="92"/>
      <c r="Q62" s="92"/>
    </row>
    <row r="63" spans="10:32">
      <c r="J63" s="92"/>
      <c r="K63" s="92"/>
      <c r="L63" s="92"/>
      <c r="M63" s="92"/>
      <c r="N63" s="92"/>
      <c r="O63" s="92"/>
      <c r="P63" s="92"/>
      <c r="Q63" s="92"/>
    </row>
    <row r="64" spans="10:32">
      <c r="J64" s="92"/>
      <c r="K64" s="92"/>
      <c r="L64" s="93"/>
      <c r="M64" s="92"/>
      <c r="N64" s="92"/>
      <c r="O64" s="93"/>
      <c r="P64" s="92"/>
      <c r="Q64" s="92"/>
    </row>
    <row r="65" spans="10:17">
      <c r="J65" s="92"/>
      <c r="K65" s="92"/>
      <c r="L65" s="93"/>
      <c r="M65" s="92"/>
      <c r="N65" s="92"/>
      <c r="O65" s="93"/>
      <c r="P65" s="92"/>
      <c r="Q65" s="92"/>
    </row>
    <row r="66" spans="10:17">
      <c r="J66" s="92"/>
      <c r="K66" s="92"/>
      <c r="L66" s="92"/>
      <c r="M66" s="92"/>
      <c r="N66" s="92"/>
      <c r="O66" s="92"/>
      <c r="P66" s="92"/>
      <c r="Q66" s="92"/>
    </row>
    <row r="67" spans="10:17">
      <c r="J67" s="92"/>
      <c r="K67" s="92"/>
      <c r="L67" s="92"/>
      <c r="M67" s="92"/>
      <c r="N67" s="92"/>
      <c r="O67" s="92"/>
      <c r="P67" s="92"/>
      <c r="Q67" s="92"/>
    </row>
    <row r="68" spans="10:17">
      <c r="J68" s="92"/>
      <c r="K68" s="92"/>
      <c r="L68" s="92"/>
      <c r="M68" s="92"/>
      <c r="N68" s="92"/>
      <c r="O68" s="92"/>
      <c r="P68" s="92"/>
      <c r="Q68" s="92"/>
    </row>
    <row r="69" spans="10:17">
      <c r="J69" s="92"/>
      <c r="K69" s="92"/>
      <c r="L69" s="93"/>
      <c r="M69" s="92"/>
      <c r="N69" s="92"/>
      <c r="O69" s="93"/>
      <c r="P69" s="92"/>
      <c r="Q69" s="92"/>
    </row>
    <row r="70" spans="10:17">
      <c r="J70" s="92"/>
      <c r="K70" s="92"/>
      <c r="L70" s="93"/>
      <c r="M70" s="92"/>
      <c r="N70" s="92"/>
      <c r="O70" s="93"/>
      <c r="P70" s="92"/>
      <c r="Q70" s="92"/>
    </row>
    <row r="71" spans="10:17">
      <c r="J71" s="92"/>
      <c r="K71" s="92"/>
      <c r="L71" s="92"/>
      <c r="M71" s="92"/>
      <c r="N71" s="92"/>
      <c r="O71" s="92"/>
      <c r="P71" s="92"/>
      <c r="Q71" s="92"/>
    </row>
  </sheetData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Z61"/>
  <sheetViews>
    <sheetView tabSelected="1" topLeftCell="A28" workbookViewId="0">
      <selection activeCell="I39" sqref="I39"/>
    </sheetView>
  </sheetViews>
  <sheetFormatPr defaultRowHeight="15"/>
  <cols>
    <col min="2" max="2" width="9.28515625" bestFit="1" customWidth="1"/>
    <col min="3" max="3" width="9.140625" customWidth="1"/>
    <col min="7" max="7" width="12.140625" customWidth="1"/>
    <col min="8" max="8" width="11.28515625" customWidth="1"/>
    <col min="9" max="9" width="12.7109375" bestFit="1" customWidth="1"/>
    <col min="11" max="11" width="12.7109375" bestFit="1" customWidth="1"/>
    <col min="12" max="12" width="9.28515625" customWidth="1"/>
    <col min="13" max="13" width="9.7109375" customWidth="1"/>
    <col min="14" max="14" width="6.7109375" customWidth="1"/>
    <col min="15" max="15" width="10.140625" customWidth="1"/>
    <col min="16" max="16" width="12.7109375" bestFit="1" customWidth="1"/>
    <col min="17" max="17" width="11" bestFit="1" customWidth="1"/>
    <col min="20" max="20" width="14.140625" customWidth="1"/>
    <col min="22" max="22" width="12.85546875" customWidth="1"/>
  </cols>
  <sheetData>
    <row r="1" spans="1:26">
      <c r="A1" s="108" t="s">
        <v>233</v>
      </c>
      <c r="J1" s="108" t="s">
        <v>233</v>
      </c>
      <c r="S1" s="108" t="s">
        <v>233</v>
      </c>
    </row>
    <row r="2" spans="1:26">
      <c r="A2" s="108" t="s">
        <v>234</v>
      </c>
      <c r="J2" s="108" t="s">
        <v>234</v>
      </c>
      <c r="S2" s="108" t="s">
        <v>234</v>
      </c>
    </row>
    <row r="3" spans="1:26">
      <c r="A3" s="108" t="s">
        <v>235</v>
      </c>
      <c r="B3" s="344" t="s">
        <v>279</v>
      </c>
      <c r="J3" s="108" t="s">
        <v>235</v>
      </c>
      <c r="K3" s="344" t="s">
        <v>279</v>
      </c>
      <c r="S3" s="108" t="s">
        <v>235</v>
      </c>
      <c r="T3" s="344" t="s">
        <v>279</v>
      </c>
    </row>
    <row r="4" spans="1:26">
      <c r="B4" s="15" t="s">
        <v>280</v>
      </c>
      <c r="K4" s="15" t="s">
        <v>280</v>
      </c>
      <c r="T4" s="15" t="s">
        <v>280</v>
      </c>
    </row>
    <row r="5" spans="1:26">
      <c r="B5" s="345" t="s">
        <v>126</v>
      </c>
      <c r="K5" s="345" t="s">
        <v>126</v>
      </c>
      <c r="T5" s="345" t="s">
        <v>126</v>
      </c>
    </row>
    <row r="6" spans="1:26">
      <c r="A6" s="321" t="s">
        <v>275</v>
      </c>
      <c r="B6" s="322"/>
      <c r="C6" s="322"/>
      <c r="D6" s="322"/>
      <c r="E6" s="322"/>
      <c r="F6" s="322"/>
      <c r="G6" s="322"/>
      <c r="H6" s="322"/>
      <c r="J6" s="321" t="s">
        <v>276</v>
      </c>
      <c r="K6" s="322"/>
      <c r="L6" s="322"/>
      <c r="M6" s="322"/>
      <c r="N6" s="322"/>
      <c r="O6" s="322"/>
      <c r="P6" s="322"/>
      <c r="Q6" s="322"/>
      <c r="S6" s="321" t="s">
        <v>281</v>
      </c>
      <c r="T6" s="322"/>
      <c r="U6" s="322"/>
      <c r="V6" s="322"/>
      <c r="W6" s="322"/>
      <c r="X6" s="322"/>
      <c r="Y6" s="322"/>
      <c r="Z6" s="322"/>
    </row>
    <row r="7" spans="1:26" ht="15.75" thickBot="1"/>
    <row r="8" spans="1:26" ht="15.75" thickBot="1">
      <c r="A8" s="216" t="s">
        <v>46</v>
      </c>
      <c r="B8" s="217" t="s">
        <v>21</v>
      </c>
      <c r="C8" s="217" t="s">
        <v>74</v>
      </c>
      <c r="D8" s="217" t="s">
        <v>19</v>
      </c>
      <c r="E8" s="232" t="s">
        <v>227</v>
      </c>
      <c r="F8" s="297">
        <f>Energy!AD24</f>
        <v>1454</v>
      </c>
      <c r="O8" s="216" t="s">
        <v>121</v>
      </c>
      <c r="P8" s="239" t="s">
        <v>21</v>
      </c>
      <c r="Q8" s="239" t="s">
        <v>19</v>
      </c>
    </row>
    <row r="9" spans="1:26" ht="15.75" thickBot="1">
      <c r="A9" s="218"/>
      <c r="B9" s="219" t="s">
        <v>16</v>
      </c>
      <c r="C9" s="219" t="s">
        <v>16</v>
      </c>
      <c r="D9" s="219" t="s">
        <v>109</v>
      </c>
      <c r="E9" s="265" t="s">
        <v>158</v>
      </c>
      <c r="F9" s="298">
        <f>B34</f>
        <v>23</v>
      </c>
      <c r="O9" s="240"/>
      <c r="P9" s="241" t="s">
        <v>16</v>
      </c>
      <c r="Q9" s="241" t="s">
        <v>16</v>
      </c>
      <c r="T9" s="108" t="s">
        <v>166</v>
      </c>
    </row>
    <row r="10" spans="1:26" ht="15.75" thickBot="1">
      <c r="A10" s="220" t="s">
        <v>36</v>
      </c>
      <c r="B10" s="222">
        <f>'Gasifier Material'!W12</f>
        <v>10882291.625566602</v>
      </c>
      <c r="C10" s="221">
        <f>B10/$B$24 *100</f>
        <v>7.0466152302039022</v>
      </c>
      <c r="D10" s="222">
        <f>B10*(B40+B41*2)</f>
        <v>478929654.44118613</v>
      </c>
      <c r="E10" s="232" t="s">
        <v>154</v>
      </c>
      <c r="F10" s="264">
        <f>Energy!U27</f>
        <v>-9127628256995.7656</v>
      </c>
      <c r="O10" s="218" t="s">
        <v>65</v>
      </c>
      <c r="P10" s="242">
        <f>Combuster!G9</f>
        <v>232108487.28797963</v>
      </c>
      <c r="Q10" s="259">
        <f>P10*B43*2</f>
        <v>6502287162.8854609</v>
      </c>
      <c r="T10" s="254" t="s">
        <v>111</v>
      </c>
      <c r="V10" s="217" t="s">
        <v>112</v>
      </c>
    </row>
    <row r="11" spans="1:26" ht="15.75" thickBot="1">
      <c r="A11" s="218" t="s">
        <v>37</v>
      </c>
      <c r="B11" s="224">
        <f>'Gasifier Material'!W13</f>
        <v>39604405.588127628</v>
      </c>
      <c r="C11" s="223">
        <f>B11/$B$24 *100</f>
        <v>25.645058706643709</v>
      </c>
      <c r="D11" s="224">
        <f>B11*(B41+B40)</f>
        <v>1109319400.5234547</v>
      </c>
      <c r="O11" s="218" t="s">
        <v>155</v>
      </c>
      <c r="P11" s="242">
        <f>Combuster!G10</f>
        <v>10412976.954851434</v>
      </c>
      <c r="Q11" s="224">
        <f>P11*B41*2</f>
        <v>333215262.55524588</v>
      </c>
      <c r="T11" s="257">
        <f>F41+B32+Q43</f>
        <v>13134300532.857569</v>
      </c>
      <c r="V11" s="233">
        <f>D24+Q16+R32</f>
        <v>13133693970.665512</v>
      </c>
      <c r="X11" s="108" t="s">
        <v>152</v>
      </c>
    </row>
    <row r="12" spans="1:26">
      <c r="A12" s="218" t="s">
        <v>38</v>
      </c>
      <c r="B12" s="224">
        <f>'Gasifier Material'!W14</f>
        <v>19623804.570693873</v>
      </c>
      <c r="C12" s="223">
        <f>B12/$B$24 *100</f>
        <v>12.707011070859497</v>
      </c>
      <c r="D12" s="224">
        <f>B12*B42*2</f>
        <v>39557665.25360471</v>
      </c>
      <c r="J12" s="144" t="s">
        <v>164</v>
      </c>
      <c r="K12" s="143"/>
      <c r="L12" s="248" t="s">
        <v>16</v>
      </c>
      <c r="O12" s="218" t="s">
        <v>71</v>
      </c>
      <c r="P12" s="242">
        <f>Combuster!G11</f>
        <v>58240066.346424945</v>
      </c>
      <c r="Q12" s="224">
        <f>P12*(B41+2*B42)</f>
        <v>1049241387.2839224</v>
      </c>
      <c r="X12" s="254" t="s">
        <v>199</v>
      </c>
      <c r="Z12" s="217" t="s">
        <v>212</v>
      </c>
    </row>
    <row r="13" spans="1:26" ht="15.75" thickBot="1">
      <c r="A13" s="218" t="s">
        <v>39</v>
      </c>
      <c r="B13" s="224">
        <f>'Gasifier Material'!W15</f>
        <v>13915061.422855653</v>
      </c>
      <c r="C13" s="223">
        <f>B13/$B$24 *100</f>
        <v>9.0104260320640055</v>
      </c>
      <c r="D13" s="224">
        <f>B13*(B40+B42*4)</f>
        <v>223219849.32088122</v>
      </c>
      <c r="J13" s="249" t="s">
        <v>19</v>
      </c>
      <c r="K13" s="250"/>
      <c r="L13" s="347">
        <f>Combuster!M14</f>
        <v>113466383000</v>
      </c>
      <c r="O13" s="218" t="s">
        <v>36</v>
      </c>
      <c r="P13" s="242">
        <f>Combuster!G12</f>
        <v>38941672.94743102</v>
      </c>
      <c r="Q13" s="224">
        <f>P13*(B40+B41*2)</f>
        <v>1713823026.4164391</v>
      </c>
      <c r="T13" s="108" t="s">
        <v>167</v>
      </c>
      <c r="X13" s="288">
        <f>Energy!AC32</f>
        <v>-17190962295202.248</v>
      </c>
      <c r="Z13" s="262">
        <f>Energy!AF35</f>
        <v>-17189576205752.059</v>
      </c>
    </row>
    <row r="14" spans="1:26" ht="15.75" thickBot="1">
      <c r="A14" s="218" t="s">
        <v>40</v>
      </c>
      <c r="B14" s="224">
        <f>'Gasifier Material'!W16</f>
        <v>4549154.6959335785</v>
      </c>
      <c r="C14" s="223">
        <f>B14/$B$24 *100</f>
        <v>2.9457162027901553</v>
      </c>
      <c r="D14" s="224">
        <f>B14*(B40*2+B42*4)</f>
        <v>127611067.86845037</v>
      </c>
      <c r="J14" s="249" t="s">
        <v>232</v>
      </c>
      <c r="K14" s="303"/>
      <c r="L14" s="348">
        <f>Combuster!M11</f>
        <v>37</v>
      </c>
      <c r="O14" s="218" t="s">
        <v>163</v>
      </c>
      <c r="P14" s="242">
        <f>Combuster!G13</f>
        <v>7860.735684729063</v>
      </c>
      <c r="Q14" s="224">
        <f>P14*(B43+B41)</f>
        <v>235877.09569166499</v>
      </c>
      <c r="T14" s="254" t="s">
        <v>111</v>
      </c>
      <c r="V14" s="217" t="s">
        <v>112</v>
      </c>
    </row>
    <row r="15" spans="1:26" ht="15.75" thickBot="1">
      <c r="A15" s="225" t="s">
        <v>41</v>
      </c>
      <c r="B15" s="295">
        <f>'Gasifier Material'!W17</f>
        <v>624393.78179480496</v>
      </c>
      <c r="C15" s="226">
        <f>B15/$B$24 *100</f>
        <v>0.40431398861825668</v>
      </c>
      <c r="D15" s="224">
        <f>B15*(B40*2+B42*6)</f>
        <v>18773897.59473712</v>
      </c>
      <c r="O15" s="218" t="s">
        <v>140</v>
      </c>
      <c r="P15" s="242">
        <f>Combuster!G14</f>
        <v>1587.5055165746719</v>
      </c>
      <c r="Q15" s="233">
        <f>P15*(B41*2+B44)</f>
        <v>101703.54091935635</v>
      </c>
      <c r="S15" s="64"/>
      <c r="T15" s="257">
        <f>B32+F41</f>
        <v>4634062488.8888893</v>
      </c>
      <c r="V15" s="233">
        <f>D24+L29+K41</f>
        <v>4633602971.9305325</v>
      </c>
    </row>
    <row r="16" spans="1:26" ht="15.75" thickBot="1">
      <c r="A16" s="218" t="s">
        <v>59</v>
      </c>
      <c r="B16" s="224">
        <f>'Gasifier Material'!AE11</f>
        <v>15785.160275049118</v>
      </c>
      <c r="C16" s="223">
        <f>B16/$B$24 *100</f>
        <v>1.0221371989705276E-2</v>
      </c>
      <c r="D16" s="222">
        <f>B16*(B42*2+B44)</f>
        <v>537970.89030189393</v>
      </c>
      <c r="O16" s="232" t="s">
        <v>16</v>
      </c>
      <c r="P16" s="243">
        <f>Combuster!G15</f>
        <v>339712651.77788836</v>
      </c>
      <c r="Q16" s="264">
        <f>SUM(Q10:Q15)</f>
        <v>9598904419.7776794</v>
      </c>
      <c r="S16" s="64"/>
    </row>
    <row r="17" spans="1:22" ht="15.75" thickBot="1">
      <c r="A17" s="218" t="s">
        <v>63</v>
      </c>
      <c r="B17" s="224">
        <f>'Gasifier Material'!AE12</f>
        <v>1753.9066972276796</v>
      </c>
      <c r="C17" s="223">
        <f>B17/$B$24 *100</f>
        <v>1.1357079988561416E-3</v>
      </c>
      <c r="D17" s="224">
        <f>B17*(B40+B41+B42)</f>
        <v>50894.689149483078</v>
      </c>
      <c r="L17" s="176" t="s">
        <v>272</v>
      </c>
      <c r="M17" s="14"/>
      <c r="O17" s="232" t="s">
        <v>227</v>
      </c>
      <c r="P17" s="297">
        <f>Energy!AD21</f>
        <v>1770</v>
      </c>
      <c r="S17" s="64"/>
      <c r="T17" s="108" t="s">
        <v>168</v>
      </c>
    </row>
    <row r="18" spans="1:22" ht="15.75" thickBot="1">
      <c r="A18" s="218" t="s">
        <v>60</v>
      </c>
      <c r="B18" s="224">
        <f>'Gasifier Material'!AE13</f>
        <v>368077.89753694582</v>
      </c>
      <c r="C18" s="223">
        <f>B18/$B$24 *100</f>
        <v>0.23834164787421133</v>
      </c>
      <c r="D18" s="224">
        <f>B18*(B43+B42*3)</f>
        <v>6268624.2495824629</v>
      </c>
      <c r="L18" s="235"/>
      <c r="M18" s="234"/>
      <c r="O18" s="265" t="s">
        <v>158</v>
      </c>
      <c r="P18" s="298">
        <f>F9</f>
        <v>23</v>
      </c>
      <c r="S18" s="64"/>
      <c r="T18" s="254" t="s">
        <v>111</v>
      </c>
      <c r="V18" s="217" t="s">
        <v>112</v>
      </c>
    </row>
    <row r="19" spans="1:22" ht="15.75" thickBot="1">
      <c r="A19" s="218" t="s">
        <v>64</v>
      </c>
      <c r="B19" s="224">
        <f>'Gasifier Material'!AE14</f>
        <v>147231.15901477833</v>
      </c>
      <c r="C19" s="223">
        <f>B19/$B$24 *100</f>
        <v>9.5336659149684547E-2</v>
      </c>
      <c r="D19" s="224">
        <f>B19*(B40+B42+B43)</f>
        <v>3978907.3492584825</v>
      </c>
      <c r="L19" s="193"/>
      <c r="M19" s="315"/>
      <c r="S19" s="64"/>
      <c r="T19" s="257">
        <f>K41+L29+Q43</f>
        <v>9836229877.3971996</v>
      </c>
      <c r="V19" s="233">
        <f>Q16+R32</f>
        <v>9836082832.1634998</v>
      </c>
    </row>
    <row r="20" spans="1:22" ht="15.75" thickBot="1">
      <c r="A20" s="218" t="s">
        <v>65</v>
      </c>
      <c r="B20" s="224">
        <f>'Gasifier Material'!AE15</f>
        <v>478501.2667980296</v>
      </c>
      <c r="C20" s="223">
        <f>B20/$B$24 *100</f>
        <v>0.30984414223647477</v>
      </c>
      <c r="D20" s="224">
        <f>B20*B43*2</f>
        <v>13404734.488080001</v>
      </c>
      <c r="S20" s="64"/>
      <c r="T20" s="307"/>
      <c r="U20" s="312"/>
      <c r="V20" s="312"/>
    </row>
    <row r="21" spans="1:22" ht="15.75" thickBot="1">
      <c r="A21" s="218" t="s">
        <v>61</v>
      </c>
      <c r="B21" s="224">
        <f>'Gasifier Material'!AE16</f>
        <v>33648.220207034661</v>
      </c>
      <c r="C21" s="223">
        <f>B21/$B$24 *100</f>
        <v>2.1788247286361424E-2</v>
      </c>
      <c r="D21" s="224">
        <f>B21*(B42+B45)</f>
        <v>1226844.3921466703</v>
      </c>
      <c r="F21" s="341" t="s">
        <v>272</v>
      </c>
      <c r="H21" s="108" t="s">
        <v>274</v>
      </c>
      <c r="Q21" s="216" t="s">
        <v>165</v>
      </c>
      <c r="R21" s="217" t="s">
        <v>19</v>
      </c>
    </row>
    <row r="22" spans="1:22" ht="15.75" thickBot="1">
      <c r="A22" s="227" t="s">
        <v>71</v>
      </c>
      <c r="B22" s="296">
        <f>'Gasifier Material'!W23</f>
        <v>63114590.578689441</v>
      </c>
      <c r="C22" s="228">
        <f>B22/$B$24 *100</f>
        <v>40.868619452818656</v>
      </c>
      <c r="D22" s="229">
        <f>B22*(B42*2+B41)</f>
        <v>1137059840.9475532</v>
      </c>
      <c r="F22" s="209"/>
      <c r="J22" s="144" t="s">
        <v>89</v>
      </c>
      <c r="K22" s="151" t="s">
        <v>21</v>
      </c>
      <c r="L22" s="157" t="s">
        <v>19</v>
      </c>
      <c r="Q22" s="218"/>
      <c r="R22" s="219" t="s">
        <v>16</v>
      </c>
    </row>
    <row r="23" spans="1:22" ht="15.75" thickBot="1">
      <c r="A23" s="238" t="s">
        <v>49</v>
      </c>
      <c r="B23" s="231">
        <f>'Gasifier Material'!W34</f>
        <v>1074191.238152808</v>
      </c>
      <c r="C23" s="230">
        <f>B23/$B$24 *100</f>
        <v>0.69557153946653705</v>
      </c>
      <c r="D23" s="231">
        <f>B23*(B40*10+B42*8)</f>
        <v>137671786.49362597</v>
      </c>
      <c r="F23" s="209"/>
      <c r="J23" s="83"/>
      <c r="K23" s="154" t="s">
        <v>16</v>
      </c>
      <c r="L23" s="154" t="s">
        <v>16</v>
      </c>
      <c r="Q23" s="220" t="s">
        <v>25</v>
      </c>
      <c r="R23" s="259">
        <f>K32</f>
        <v>135588463.69466001</v>
      </c>
    </row>
    <row r="24" spans="1:22" ht="15.75" thickBot="1">
      <c r="A24" s="232" t="s">
        <v>16</v>
      </c>
      <c r="B24" s="231">
        <f>SUM(B10:B23)</f>
        <v>154432891.11234343</v>
      </c>
      <c r="C24" s="230">
        <f>SUM(C10:C23)</f>
        <v>100.00000000000001</v>
      </c>
      <c r="D24" s="263">
        <f>SUM(D10:D23)</f>
        <v>3297611138.5020123</v>
      </c>
      <c r="F24" s="261"/>
      <c r="J24" s="152" t="s">
        <v>11</v>
      </c>
      <c r="K24" s="163">
        <f>'Gasifier Material'!AC30</f>
        <v>1587.5055165746719</v>
      </c>
      <c r="L24" s="163">
        <f>K24*B44</f>
        <v>50903.364388966853</v>
      </c>
      <c r="N24" s="176" t="s">
        <v>278</v>
      </c>
      <c r="O24" s="14"/>
      <c r="Q24" s="218" t="s">
        <v>26</v>
      </c>
      <c r="R24" s="224">
        <f>K33</f>
        <v>1908688.5615999999</v>
      </c>
      <c r="S24" s="108" t="s">
        <v>77</v>
      </c>
    </row>
    <row r="25" spans="1:22">
      <c r="J25" s="83" t="s">
        <v>10</v>
      </c>
      <c r="K25" s="164">
        <f>'Gasifier Material'!AC31</f>
        <v>104039.14876847291</v>
      </c>
      <c r="L25" s="164">
        <f>K25*B43</f>
        <v>1457276.3568</v>
      </c>
      <c r="N25" s="338" t="s">
        <v>227</v>
      </c>
      <c r="O25" s="339">
        <f>I33</f>
        <v>1770</v>
      </c>
      <c r="Q25" s="218" t="s">
        <v>27</v>
      </c>
      <c r="R25" s="224">
        <f>K34</f>
        <v>882768.45973999996</v>
      </c>
      <c r="S25" s="108">
        <v>1</v>
      </c>
      <c r="T25" t="s">
        <v>282</v>
      </c>
    </row>
    <row r="26" spans="1:22">
      <c r="F26" s="92"/>
      <c r="H26" s="92"/>
      <c r="J26" s="83" t="s">
        <v>9</v>
      </c>
      <c r="K26" s="164">
        <f>'Gasifier Material'!AC32</f>
        <v>32013463.967608795</v>
      </c>
      <c r="L26" s="164">
        <f>K26*B41</f>
        <v>512215423.48174071</v>
      </c>
      <c r="N26" s="340" t="s">
        <v>158</v>
      </c>
      <c r="O26" s="339">
        <f>R34</f>
        <v>23</v>
      </c>
      <c r="Q26" s="218" t="s">
        <v>28</v>
      </c>
      <c r="R26" s="224">
        <f>K35</f>
        <v>11404414.15556</v>
      </c>
      <c r="S26" s="108"/>
      <c r="T26" t="s">
        <v>283</v>
      </c>
    </row>
    <row r="27" spans="1:22" ht="15.75" thickBot="1">
      <c r="J27" s="83" t="s">
        <v>8</v>
      </c>
      <c r="K27" s="164">
        <f>'Gasifier Material'!AC33</f>
        <v>116480132.69284989</v>
      </c>
      <c r="L27" s="164">
        <f>K27*B42</f>
        <v>117400325.74112341</v>
      </c>
      <c r="N27" s="235"/>
      <c r="O27" s="234"/>
      <c r="Q27" s="218" t="s">
        <v>29</v>
      </c>
      <c r="R27" s="224">
        <f>K36</f>
        <v>26363760.757099997</v>
      </c>
      <c r="S27" s="108">
        <v>2</v>
      </c>
      <c r="T27" t="s">
        <v>78</v>
      </c>
    </row>
    <row r="28" spans="1:22" ht="15.75" thickBot="1">
      <c r="D28" s="176" t="s">
        <v>136</v>
      </c>
      <c r="E28" s="316"/>
      <c r="J28" s="83" t="s">
        <v>7</v>
      </c>
      <c r="K28" s="164">
        <f>'Gasifier Material'!AC34</f>
        <v>38941672.94743102</v>
      </c>
      <c r="L28" s="164">
        <f>K28*B40</f>
        <v>467689492.09864652</v>
      </c>
      <c r="N28" s="235"/>
      <c r="O28" s="234"/>
      <c r="Q28" s="218" t="s">
        <v>30</v>
      </c>
      <c r="R28" s="224">
        <f>K37</f>
        <v>715758.21059999999</v>
      </c>
      <c r="S28" s="108">
        <v>3</v>
      </c>
      <c r="T28" t="s">
        <v>83</v>
      </c>
    </row>
    <row r="29" spans="1:22" ht="15.75" thickBot="1">
      <c r="C29" s="92"/>
      <c r="D29" s="338" t="s">
        <v>227</v>
      </c>
      <c r="E29" s="339">
        <v>1454</v>
      </c>
      <c r="J29" s="156" t="s">
        <v>16</v>
      </c>
      <c r="K29" s="165">
        <f>SUM(K24:K28)</f>
        <v>187540896.26217476</v>
      </c>
      <c r="L29" s="165">
        <f>SUM(L24:L28)</f>
        <v>1098813421.0426996</v>
      </c>
      <c r="N29" s="235"/>
      <c r="O29" s="234"/>
      <c r="Q29" s="218" t="s">
        <v>31</v>
      </c>
      <c r="R29" s="224">
        <f>K38</f>
        <v>21615897.96012</v>
      </c>
      <c r="S29" s="108">
        <v>4</v>
      </c>
      <c r="T29" t="s">
        <v>85</v>
      </c>
    </row>
    <row r="30" spans="1:22" ht="15.75" thickBot="1">
      <c r="A30" s="283" t="s">
        <v>110</v>
      </c>
      <c r="B30" s="284"/>
      <c r="D30" s="340" t="s">
        <v>158</v>
      </c>
      <c r="E30" s="339">
        <v>23</v>
      </c>
      <c r="J30" s="144" t="s">
        <v>89</v>
      </c>
      <c r="K30" s="157" t="s">
        <v>19</v>
      </c>
      <c r="N30" s="235"/>
      <c r="O30" s="234"/>
      <c r="Q30" s="218" t="s">
        <v>32</v>
      </c>
      <c r="R30" s="233">
        <f>K39</f>
        <v>13050658.03994</v>
      </c>
      <c r="S30" s="108">
        <v>5</v>
      </c>
      <c r="T30" t="s">
        <v>114</v>
      </c>
    </row>
    <row r="31" spans="1:22" ht="15.75" thickBot="1">
      <c r="A31" s="285"/>
      <c r="B31" s="255" t="s">
        <v>16</v>
      </c>
      <c r="D31" s="235"/>
      <c r="E31" s="234"/>
      <c r="H31" s="156" t="s">
        <v>273</v>
      </c>
      <c r="I31" s="342"/>
      <c r="J31" s="83"/>
      <c r="K31" s="154" t="s">
        <v>16</v>
      </c>
      <c r="N31" s="235"/>
      <c r="O31" s="234"/>
      <c r="Q31" s="260" t="s">
        <v>119</v>
      </c>
      <c r="R31" s="231">
        <f>K40</f>
        <v>25648002.546499997</v>
      </c>
      <c r="S31" s="108">
        <v>6</v>
      </c>
      <c r="T31" t="s">
        <v>117</v>
      </c>
    </row>
    <row r="32" spans="1:22" ht="15.75" thickBot="1">
      <c r="A32" s="286" t="s">
        <v>19</v>
      </c>
      <c r="B32" s="287">
        <f>'Gasifier Material'!H22</f>
        <v>3407398888.8888888</v>
      </c>
      <c r="D32" s="235"/>
      <c r="E32" s="234"/>
      <c r="H32" s="156" t="s">
        <v>19</v>
      </c>
      <c r="I32" s="343">
        <f>Combuster!M14</f>
        <v>113466383000</v>
      </c>
      <c r="J32" s="152" t="s">
        <v>25</v>
      </c>
      <c r="K32" s="163">
        <f>'Gasifier Material'!AC37</f>
        <v>135588463.69466001</v>
      </c>
      <c r="N32" s="235"/>
      <c r="O32" s="234"/>
      <c r="Q32" s="232" t="s">
        <v>16</v>
      </c>
      <c r="R32" s="263">
        <f>SUM(R23:R31)</f>
        <v>237178412.38581997</v>
      </c>
      <c r="S32" s="108">
        <v>7</v>
      </c>
      <c r="T32" t="s">
        <v>122</v>
      </c>
    </row>
    <row r="33" spans="1:21" ht="15.75" thickBot="1">
      <c r="A33" s="258" t="s">
        <v>227</v>
      </c>
      <c r="B33" s="289">
        <f>Energy!AD20</f>
        <v>220</v>
      </c>
      <c r="D33" s="235"/>
      <c r="E33" s="234"/>
      <c r="H33" s="156" t="s">
        <v>227</v>
      </c>
      <c r="I33" s="342">
        <f>P17</f>
        <v>1770</v>
      </c>
      <c r="J33" s="83" t="s">
        <v>26</v>
      </c>
      <c r="K33" s="164">
        <f>'Gasifier Material'!AC38</f>
        <v>1908688.5615999999</v>
      </c>
      <c r="N33" s="235"/>
      <c r="O33" s="234"/>
      <c r="Q33" s="232" t="s">
        <v>227</v>
      </c>
      <c r="R33" s="297">
        <f>Energy!AD21</f>
        <v>1770</v>
      </c>
      <c r="S33" s="108">
        <v>8</v>
      </c>
      <c r="T33" t="s">
        <v>139</v>
      </c>
    </row>
    <row r="34" spans="1:21" ht="15.75" thickBot="1">
      <c r="A34" s="246" t="s">
        <v>158</v>
      </c>
      <c r="B34" s="290">
        <f>'Gasifier Material'!R39</f>
        <v>23</v>
      </c>
      <c r="D34" s="235"/>
      <c r="E34" s="234"/>
      <c r="J34" s="83" t="s">
        <v>27</v>
      </c>
      <c r="K34" s="164">
        <f>'Gasifier Material'!AC39</f>
        <v>882768.45973999996</v>
      </c>
      <c r="N34" s="235"/>
      <c r="O34" s="234"/>
      <c r="Q34" s="265" t="s">
        <v>158</v>
      </c>
      <c r="R34" s="298">
        <f>P45</f>
        <v>23</v>
      </c>
      <c r="S34" s="108">
        <v>9</v>
      </c>
      <c r="T34" s="212" t="s">
        <v>150</v>
      </c>
    </row>
    <row r="35" spans="1:21" ht="15.75" thickBot="1">
      <c r="A35" s="258" t="s">
        <v>154</v>
      </c>
      <c r="B35" s="294">
        <f>Energy!B41+Energy!B27</f>
        <v>-11326050111319.037</v>
      </c>
      <c r="D35" s="193"/>
      <c r="E35" s="315"/>
      <c r="J35" s="83" t="s">
        <v>28</v>
      </c>
      <c r="K35" s="164">
        <f>'Gasifier Material'!AC40</f>
        <v>11404414.15556</v>
      </c>
      <c r="N35" s="193"/>
      <c r="O35" s="315"/>
      <c r="S35" s="108">
        <v>10</v>
      </c>
      <c r="T35" t="s">
        <v>173</v>
      </c>
    </row>
    <row r="36" spans="1:21" ht="15.75" thickBot="1">
      <c r="A36" s="258" t="s">
        <v>66</v>
      </c>
      <c r="B36" s="346">
        <v>0.1</v>
      </c>
      <c r="J36" s="83" t="s">
        <v>29</v>
      </c>
      <c r="K36" s="164">
        <f>'Gasifier Material'!AC41</f>
        <v>26363760.757099997</v>
      </c>
      <c r="S36" s="108">
        <v>11</v>
      </c>
      <c r="T36" t="s">
        <v>201</v>
      </c>
    </row>
    <row r="37" spans="1:21">
      <c r="J37" s="83" t="s">
        <v>30</v>
      </c>
      <c r="K37" s="164">
        <f>'Gasifier Material'!AC42</f>
        <v>715758.21059999999</v>
      </c>
      <c r="R37" s="92"/>
      <c r="S37" s="108">
        <v>12</v>
      </c>
      <c r="T37" t="s">
        <v>284</v>
      </c>
      <c r="U37" s="92"/>
    </row>
    <row r="38" spans="1:21" ht="15.75" thickBot="1">
      <c r="J38" s="83" t="s">
        <v>31</v>
      </c>
      <c r="K38" s="164">
        <f>'Gasifier Material'!AC43</f>
        <v>21615897.96012</v>
      </c>
      <c r="Q38" s="92"/>
      <c r="R38" s="91"/>
      <c r="T38" t="s">
        <v>285</v>
      </c>
    </row>
    <row r="39" spans="1:21" ht="15.75" thickBot="1">
      <c r="A39" s="38"/>
      <c r="B39" s="39" t="s">
        <v>47</v>
      </c>
      <c r="E39" s="244" t="s">
        <v>80</v>
      </c>
      <c r="F39" s="284"/>
      <c r="J39" s="83" t="s">
        <v>32</v>
      </c>
      <c r="K39" s="164">
        <f>'Gasifier Material'!AC44</f>
        <v>13050658.03994</v>
      </c>
      <c r="O39" s="244" t="s">
        <v>277</v>
      </c>
      <c r="P39" s="254" t="s">
        <v>21</v>
      </c>
      <c r="Q39" s="245" t="s">
        <v>19</v>
      </c>
      <c r="R39" s="92"/>
    </row>
    <row r="40" spans="1:21" ht="15.75" thickBot="1">
      <c r="A40" s="52" t="s">
        <v>7</v>
      </c>
      <c r="B40" s="54">
        <v>12.01</v>
      </c>
      <c r="E40" s="186"/>
      <c r="F40" s="255" t="s">
        <v>16</v>
      </c>
      <c r="J40" s="86" t="s">
        <v>119</v>
      </c>
      <c r="K40" s="165">
        <f>'Gasifier Material'!O28</f>
        <v>25648002.546499997</v>
      </c>
      <c r="O40" s="186"/>
      <c r="P40" s="255" t="s">
        <v>16</v>
      </c>
      <c r="Q40" s="251" t="s">
        <v>16</v>
      </c>
      <c r="R40" s="92"/>
    </row>
    <row r="41" spans="1:21" ht="15.75" thickBot="1">
      <c r="A41" s="52" t="s">
        <v>9</v>
      </c>
      <c r="B41" s="54">
        <v>16</v>
      </c>
      <c r="E41" s="291" t="s">
        <v>19</v>
      </c>
      <c r="F41" s="293">
        <f>'Gasifier Material'!M40</f>
        <v>1226663600</v>
      </c>
      <c r="J41" s="156" t="s">
        <v>16</v>
      </c>
      <c r="K41" s="165">
        <f>SUM(K32:K40)</f>
        <v>237178412.38581997</v>
      </c>
      <c r="O41" s="186" t="s">
        <v>155</v>
      </c>
      <c r="P41" s="256">
        <f>Combuster!G21</f>
        <v>62477861.729108572</v>
      </c>
      <c r="Q41" s="252">
        <f>P41*B41*2</f>
        <v>1999291575.3314743</v>
      </c>
    </row>
    <row r="42" spans="1:21" ht="15.75" thickBot="1">
      <c r="A42" s="52" t="s">
        <v>8</v>
      </c>
      <c r="B42" s="54">
        <v>1.0079</v>
      </c>
      <c r="E42" s="292" t="s">
        <v>21</v>
      </c>
      <c r="F42" s="294">
        <f>'Gasifier Material'!M41</f>
        <v>68087455.595026657</v>
      </c>
      <c r="J42" s="156" t="s">
        <v>227</v>
      </c>
      <c r="K42" s="299">
        <f>F8</f>
        <v>1454</v>
      </c>
      <c r="O42" s="253" t="s">
        <v>65</v>
      </c>
      <c r="P42" s="257">
        <f>Combuster!G22</f>
        <v>232060629.27954614</v>
      </c>
      <c r="Q42" s="247">
        <f>P42*B43*2</f>
        <v>6500946468.6372051</v>
      </c>
    </row>
    <row r="43" spans="1:21" ht="15.75" thickBot="1">
      <c r="A43" s="52" t="s">
        <v>10</v>
      </c>
      <c r="B43" s="54">
        <v>14.007</v>
      </c>
      <c r="E43" s="258" t="s">
        <v>227</v>
      </c>
      <c r="F43" s="289">
        <f>Energy!AD23</f>
        <v>700</v>
      </c>
      <c r="J43" s="249" t="s">
        <v>158</v>
      </c>
      <c r="K43" s="300">
        <f>F9</f>
        <v>23</v>
      </c>
      <c r="O43" s="246" t="s">
        <v>16</v>
      </c>
      <c r="P43" s="257">
        <f>P42+P41</f>
        <v>294538491.00865471</v>
      </c>
      <c r="Q43" s="301">
        <f>Q42+Q41</f>
        <v>8500238043.9686794</v>
      </c>
    </row>
    <row r="44" spans="1:21" ht="15.75" thickBot="1">
      <c r="A44" s="52" t="s">
        <v>11</v>
      </c>
      <c r="B44" s="54">
        <v>32.064999999999998</v>
      </c>
      <c r="E44" s="246" t="s">
        <v>158</v>
      </c>
      <c r="F44" s="290">
        <f>B34</f>
        <v>23</v>
      </c>
      <c r="O44" s="258" t="s">
        <v>227</v>
      </c>
      <c r="P44" s="289">
        <f>Energy!AD22</f>
        <v>500</v>
      </c>
    </row>
    <row r="45" spans="1:21" ht="15.75" thickBot="1">
      <c r="A45" s="40" t="s">
        <v>24</v>
      </c>
      <c r="B45" s="41">
        <v>35.453000000000003</v>
      </c>
      <c r="E45" s="258" t="s">
        <v>154</v>
      </c>
      <c r="F45" s="294">
        <f>Energy!K17</f>
        <v>-6726671270346.752</v>
      </c>
      <c r="O45" s="246" t="s">
        <v>158</v>
      </c>
      <c r="P45" s="290">
        <f>Summary!K43</f>
        <v>23</v>
      </c>
    </row>
    <row r="50" spans="3:8">
      <c r="C50" s="333"/>
      <c r="D50" s="312"/>
      <c r="E50" s="312"/>
    </row>
    <row r="51" spans="3:8">
      <c r="C51" s="312"/>
      <c r="D51" s="307"/>
      <c r="E51" s="312"/>
    </row>
    <row r="52" spans="3:8">
      <c r="C52" s="312"/>
      <c r="D52" s="307"/>
      <c r="E52" s="312"/>
    </row>
    <row r="53" spans="3:8">
      <c r="C53" s="312"/>
      <c r="D53" s="312"/>
      <c r="E53" s="312"/>
    </row>
    <row r="54" spans="3:8">
      <c r="C54" s="312"/>
      <c r="D54" s="312"/>
      <c r="E54" s="312"/>
    </row>
    <row r="55" spans="3:8">
      <c r="C55" s="312"/>
      <c r="D55" s="312"/>
      <c r="E55" s="312"/>
    </row>
    <row r="56" spans="3:8">
      <c r="C56" s="312"/>
      <c r="D56" s="312"/>
      <c r="E56" s="312"/>
    </row>
    <row r="57" spans="3:8">
      <c r="C57" s="312"/>
      <c r="D57" s="307"/>
      <c r="E57" s="307"/>
    </row>
    <row r="58" spans="3:8">
      <c r="C58" s="312"/>
      <c r="D58" s="307"/>
      <c r="E58" s="307"/>
    </row>
    <row r="59" spans="3:8">
      <c r="C59" s="312"/>
      <c r="D59" s="307"/>
      <c r="E59" s="307"/>
    </row>
    <row r="60" spans="3:8">
      <c r="C60" s="312"/>
      <c r="D60" s="307"/>
      <c r="E60" s="307"/>
      <c r="F60" s="307"/>
      <c r="G60" s="312"/>
      <c r="H60" s="312"/>
    </row>
    <row r="61" spans="3:8">
      <c r="C61" s="312"/>
      <c r="D61" s="307"/>
      <c r="E61" s="307"/>
      <c r="F61" s="307"/>
      <c r="G61" s="312"/>
      <c r="H61" s="312"/>
    </row>
  </sheetData>
  <hyperlinks>
    <hyperlink ref="T34" r:id="rId1"/>
  </hyperlinks>
  <pageMargins left="0.7" right="0.7" top="0.75" bottom="0.75" header="0.3" footer="0.3"/>
  <pageSetup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Gasifier Material</vt:lpstr>
      <vt:lpstr>Combuster</vt:lpstr>
      <vt:lpstr>Energy</vt:lpstr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James O'Brien</dc:creator>
  <cp:lastModifiedBy>Tim James O'Brien</cp:lastModifiedBy>
  <cp:lastPrinted>2009-02-18T00:12:34Z</cp:lastPrinted>
  <dcterms:created xsi:type="dcterms:W3CDTF">2009-02-07T19:18:50Z</dcterms:created>
  <dcterms:modified xsi:type="dcterms:W3CDTF">2009-02-18T03:55:56Z</dcterms:modified>
</cp:coreProperties>
</file>